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24\Inglés\03-Marzo\"/>
    </mc:Choice>
  </mc:AlternateContent>
  <xr:revisionPtr revIDLastSave="0" documentId="13_ncr:1_{C1033B5A-5483-4E7D-AE55-DECCDF173CC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omestic Bonds" sheetId="1" r:id="rId1"/>
  </sheets>
  <definedNames>
    <definedName name="Relación_de_Bonos_Internos_Plan_de_Recapitalización_del_Banco_Central__Ley_No._167_07">'Domestic Bonds'!$B$61</definedName>
    <definedName name="Relación_de_Bonos_Internos_Subastas_Ministerio_de_Hacienda__Ley_No._366_09">'Domestic Bonds'!$B$81</definedName>
    <definedName name="Relación_de_Bonos_Internos_Subastas_Ministerio_de_Hacienda__Ley_No._498_08">'Domestic Bonds'!#REF!</definedName>
    <definedName name="Relación_del_Resto_de_Bonos_Internos_Emitidos_por_el_Sector_Público">'Domestic Bonds'!$B$30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8" i="1" l="1"/>
  <c r="J488" i="1" s="1"/>
  <c r="I54" i="1"/>
  <c r="I487" i="1"/>
  <c r="J487" i="1" s="1"/>
  <c r="I486" i="1"/>
  <c r="J486" i="1" s="1"/>
  <c r="H485" i="1"/>
  <c r="I74" i="1"/>
  <c r="I470" i="1"/>
  <c r="J470" i="1" s="1"/>
  <c r="I469" i="1"/>
  <c r="J469" i="1" s="1"/>
  <c r="J485" i="1" l="1"/>
  <c r="I485" i="1"/>
  <c r="H462" i="1"/>
  <c r="I466" i="1"/>
  <c r="J466" i="1" s="1"/>
  <c r="I465" i="1"/>
  <c r="J465" i="1" s="1"/>
  <c r="I464" i="1"/>
  <c r="J464" i="1" s="1"/>
  <c r="I463" i="1" l="1"/>
  <c r="J463" i="1" l="1"/>
  <c r="J462" i="1" s="1"/>
  <c r="I462" i="1"/>
  <c r="J76" i="1"/>
  <c r="I361" i="1" l="1"/>
  <c r="I39" i="1" l="1"/>
  <c r="H444" i="1"/>
  <c r="H329" i="1" l="1"/>
  <c r="H354" i="1"/>
  <c r="H393" i="1" l="1"/>
  <c r="I365" i="1"/>
  <c r="I364" i="1"/>
  <c r="I363" i="1"/>
  <c r="I362" i="1"/>
  <c r="I360" i="1"/>
  <c r="I359" i="1"/>
  <c r="I358" i="1"/>
  <c r="I357" i="1"/>
  <c r="I356" i="1"/>
  <c r="I355" i="1"/>
  <c r="I367" i="1"/>
  <c r="I338" i="1"/>
  <c r="I337" i="1"/>
  <c r="I336" i="1"/>
  <c r="I335" i="1"/>
  <c r="I334" i="1"/>
  <c r="I333" i="1"/>
  <c r="I332" i="1"/>
  <c r="I331" i="1"/>
  <c r="I330" i="1"/>
  <c r="I314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46" i="1"/>
  <c r="I245" i="1"/>
  <c r="I244" i="1"/>
  <c r="I243" i="1"/>
  <c r="I242" i="1"/>
  <c r="I241" i="1"/>
  <c r="I240" i="1"/>
  <c r="I239" i="1"/>
  <c r="I238" i="1"/>
  <c r="I223" i="1"/>
  <c r="I224" i="1"/>
  <c r="I225" i="1"/>
  <c r="I222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89" i="1"/>
  <c r="J189" i="1" s="1"/>
  <c r="I181" i="1"/>
  <c r="J181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90" i="1"/>
  <c r="J190" i="1" s="1"/>
  <c r="J330" i="1" l="1"/>
  <c r="I329" i="1"/>
  <c r="J355" i="1"/>
  <c r="I142" i="1"/>
  <c r="H427" i="1" l="1"/>
  <c r="G42" i="1" l="1"/>
  <c r="G38" i="1" s="1"/>
  <c r="G36" i="1" s="1"/>
  <c r="H426" i="1" l="1"/>
  <c r="H425" i="1" s="1"/>
  <c r="J423" i="1" l="1"/>
  <c r="J442" i="1" l="1"/>
  <c r="J460" i="1" s="1"/>
  <c r="J483" i="1" s="1"/>
  <c r="I427" i="1"/>
  <c r="J427" i="1" s="1"/>
  <c r="I428" i="1"/>
  <c r="J428" i="1" s="1"/>
  <c r="I429" i="1"/>
  <c r="J429" i="1" s="1"/>
  <c r="I426" i="1"/>
  <c r="I425" i="1" l="1"/>
  <c r="J426" i="1"/>
  <c r="J425" i="1" s="1"/>
  <c r="I445" i="1"/>
  <c r="I446" i="1"/>
  <c r="J446" i="1" s="1"/>
  <c r="I68" i="1"/>
  <c r="J68" i="1" s="1"/>
  <c r="J445" i="1" l="1"/>
  <c r="J444" i="1" s="1"/>
  <c r="I444" i="1"/>
  <c r="I43" i="1" l="1"/>
  <c r="J43" i="1" s="1"/>
  <c r="G56" i="1" l="1"/>
  <c r="G54" i="1" s="1"/>
  <c r="I42" i="1"/>
  <c r="H42" i="1"/>
  <c r="H38" i="1" l="1"/>
  <c r="H36" i="1" s="1"/>
  <c r="J42" i="1"/>
  <c r="I377" i="1" l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J367" i="1"/>
  <c r="I366" i="1"/>
  <c r="J365" i="1"/>
  <c r="J364" i="1"/>
  <c r="J363" i="1"/>
  <c r="J362" i="1"/>
  <c r="J361" i="1"/>
  <c r="J360" i="1"/>
  <c r="J359" i="1"/>
  <c r="J358" i="1"/>
  <c r="J357" i="1"/>
  <c r="J356" i="1"/>
  <c r="J338" i="1"/>
  <c r="J337" i="1"/>
  <c r="J336" i="1"/>
  <c r="J335" i="1"/>
  <c r="J334" i="1"/>
  <c r="J333" i="1"/>
  <c r="J332" i="1"/>
  <c r="J331" i="1"/>
  <c r="J314" i="1"/>
  <c r="I313" i="1"/>
  <c r="J312" i="1"/>
  <c r="J311" i="1"/>
  <c r="J310" i="1"/>
  <c r="J309" i="1"/>
  <c r="J308" i="1"/>
  <c r="J307" i="1"/>
  <c r="J306" i="1"/>
  <c r="J305" i="1"/>
  <c r="J304" i="1"/>
  <c r="J303" i="1"/>
  <c r="J302" i="1"/>
  <c r="I248" i="1"/>
  <c r="J248" i="1" s="1"/>
  <c r="I247" i="1"/>
  <c r="J247" i="1" s="1"/>
  <c r="I227" i="1"/>
  <c r="J227" i="1" s="1"/>
  <c r="I226" i="1"/>
  <c r="J226" i="1" s="1"/>
  <c r="J225" i="1"/>
  <c r="J224" i="1"/>
  <c r="J223" i="1"/>
  <c r="J222" i="1"/>
  <c r="I221" i="1"/>
  <c r="J221" i="1" s="1"/>
  <c r="I220" i="1"/>
  <c r="J220" i="1" s="1"/>
  <c r="I146" i="1"/>
  <c r="I145" i="1"/>
  <c r="I144" i="1"/>
  <c r="I143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78" i="1"/>
  <c r="J78" i="1" s="1"/>
  <c r="I77" i="1"/>
  <c r="J77" i="1" s="1"/>
  <c r="I75" i="1"/>
  <c r="J75" i="1" s="1"/>
  <c r="J74" i="1"/>
  <c r="I73" i="1"/>
  <c r="J73" i="1" s="1"/>
  <c r="I72" i="1"/>
  <c r="J72" i="1" s="1"/>
  <c r="I71" i="1"/>
  <c r="J71" i="1" s="1"/>
  <c r="I70" i="1"/>
  <c r="J70" i="1" s="1"/>
  <c r="I69" i="1"/>
  <c r="J69" i="1" s="1"/>
  <c r="J57" i="1"/>
  <c r="J56" i="1" s="1"/>
  <c r="J54" i="1" s="1"/>
  <c r="I41" i="1"/>
  <c r="J41" i="1" s="1"/>
  <c r="I40" i="1"/>
  <c r="J40" i="1" s="1"/>
  <c r="J52" i="1"/>
  <c r="J313" i="1" l="1"/>
  <c r="I294" i="1"/>
  <c r="J366" i="1"/>
  <c r="I354" i="1"/>
  <c r="I38" i="1"/>
  <c r="I36" i="1" s="1"/>
  <c r="J39" i="1"/>
  <c r="J38" i="1" l="1"/>
  <c r="J36" i="1" s="1"/>
  <c r="H56" i="1"/>
  <c r="H54" i="1" s="1"/>
  <c r="J113" i="1" l="1"/>
  <c r="J354" i="1" l="1"/>
  <c r="J329" i="1"/>
  <c r="J135" i="1" l="1"/>
  <c r="J136" i="1"/>
  <c r="J137" i="1"/>
  <c r="J138" i="1"/>
  <c r="J139" i="1"/>
  <c r="J140" i="1"/>
  <c r="J141" i="1"/>
  <c r="J142" i="1"/>
  <c r="J143" i="1"/>
  <c r="J144" i="1"/>
  <c r="J145" i="1"/>
  <c r="J146" i="1"/>
  <c r="J65" i="1" l="1"/>
  <c r="H262" i="1" l="1"/>
  <c r="I67" i="1" l="1"/>
  <c r="H67" i="1"/>
  <c r="H294" i="1" l="1"/>
  <c r="J299" i="1" l="1"/>
  <c r="J300" i="1"/>
  <c r="J301" i="1"/>
  <c r="J298" i="1" l="1"/>
  <c r="J297" i="1"/>
  <c r="J296" i="1" l="1"/>
  <c r="J295" i="1"/>
  <c r="J294" i="1" l="1"/>
  <c r="J259" i="1" l="1"/>
  <c r="J234" i="1"/>
  <c r="J216" i="1"/>
  <c r="J64" i="1"/>
  <c r="J84" i="1" s="1"/>
  <c r="J125" i="1" s="1"/>
  <c r="J154" i="1" s="1"/>
  <c r="J177" i="1" s="1"/>
  <c r="H237" i="1" l="1"/>
  <c r="H87" i="1"/>
  <c r="J85" i="1"/>
  <c r="J126" i="1" s="1"/>
  <c r="J155" i="1" s="1"/>
  <c r="H219" i="1"/>
  <c r="I219" i="1"/>
  <c r="J130" i="1"/>
  <c r="J131" i="1"/>
  <c r="J132" i="1"/>
  <c r="J133" i="1"/>
  <c r="J92" i="1"/>
  <c r="J91" i="1"/>
  <c r="J90" i="1"/>
  <c r="J89" i="1"/>
  <c r="J88" i="1"/>
  <c r="H157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H128" i="1"/>
  <c r="I128" i="1"/>
  <c r="J129" i="1"/>
  <c r="J134" i="1"/>
  <c r="H180" i="1"/>
  <c r="J178" i="1" l="1"/>
  <c r="J217" i="1" s="1"/>
  <c r="J235" i="1" s="1"/>
  <c r="J260" i="1" s="1"/>
  <c r="J292" i="1" s="1"/>
  <c r="J327" i="1" s="1"/>
  <c r="J352" i="1" s="1"/>
  <c r="J391" i="1" s="1"/>
  <c r="I167" i="1"/>
  <c r="I163" i="1"/>
  <c r="I159" i="1"/>
  <c r="I169" i="1"/>
  <c r="I166" i="1"/>
  <c r="I162" i="1"/>
  <c r="I158" i="1"/>
  <c r="I165" i="1"/>
  <c r="I168" i="1"/>
  <c r="I164" i="1"/>
  <c r="I160" i="1"/>
  <c r="I161" i="1"/>
  <c r="J128" i="1"/>
  <c r="J67" i="1"/>
  <c r="J87" i="1"/>
  <c r="J219" i="1"/>
  <c r="I87" i="1"/>
  <c r="I403" i="1" l="1"/>
  <c r="J403" i="1" s="1"/>
  <c r="I404" i="1"/>
  <c r="J404" i="1" s="1"/>
  <c r="I405" i="1"/>
  <c r="J405" i="1" s="1"/>
  <c r="I406" i="1"/>
  <c r="J406" i="1" s="1"/>
  <c r="I407" i="1"/>
  <c r="J407" i="1" s="1"/>
  <c r="I395" i="1"/>
  <c r="J395" i="1" s="1"/>
  <c r="I398" i="1"/>
  <c r="J398" i="1" s="1"/>
  <c r="I402" i="1"/>
  <c r="J402" i="1" s="1"/>
  <c r="I408" i="1"/>
  <c r="J408" i="1" s="1"/>
  <c r="I394" i="1"/>
  <c r="I396" i="1"/>
  <c r="J396" i="1" s="1"/>
  <c r="I397" i="1"/>
  <c r="J397" i="1" s="1"/>
  <c r="I399" i="1"/>
  <c r="J399" i="1" s="1"/>
  <c r="I401" i="1"/>
  <c r="J401" i="1" s="1"/>
  <c r="I409" i="1"/>
  <c r="J409" i="1" s="1"/>
  <c r="I400" i="1"/>
  <c r="J400" i="1" s="1"/>
  <c r="J158" i="1"/>
  <c r="J159" i="1"/>
  <c r="J160" i="1"/>
  <c r="J162" i="1"/>
  <c r="J167" i="1"/>
  <c r="J165" i="1"/>
  <c r="I157" i="1"/>
  <c r="J163" i="1"/>
  <c r="J164" i="1"/>
  <c r="J166" i="1"/>
  <c r="J169" i="1"/>
  <c r="J168" i="1"/>
  <c r="J161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I180" i="1"/>
  <c r="I393" i="1" l="1"/>
  <c r="J394" i="1"/>
  <c r="J393" i="1" s="1"/>
  <c r="J157" i="1"/>
  <c r="J180" i="1"/>
  <c r="J238" i="1"/>
  <c r="J239" i="1"/>
  <c r="J240" i="1"/>
  <c r="J241" i="1"/>
  <c r="J242" i="1"/>
  <c r="J243" i="1"/>
  <c r="J244" i="1"/>
  <c r="J245" i="1"/>
  <c r="J246" i="1"/>
  <c r="I237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I262" i="1"/>
  <c r="J262" i="1" l="1"/>
  <c r="J237" i="1"/>
  <c r="L36" i="1" s="1"/>
</calcChain>
</file>

<file path=xl/sharedStrings.xml><?xml version="1.0" encoding="utf-8"?>
<sst xmlns="http://schemas.openxmlformats.org/spreadsheetml/2006/main" count="954" uniqueCount="156">
  <si>
    <t>DOP</t>
  </si>
  <si>
    <t>USD</t>
  </si>
  <si>
    <t>Total USD</t>
  </si>
  <si>
    <t>TOTAL</t>
  </si>
  <si>
    <t>2008-14-0005</t>
  </si>
  <si>
    <t>2008-14-0007</t>
  </si>
  <si>
    <t>2008-14-0010</t>
  </si>
  <si>
    <t>2008-14-0011</t>
  </si>
  <si>
    <t>2009-14-0003</t>
  </si>
  <si>
    <t>SEH1-2015</t>
  </si>
  <si>
    <t>SEH1-2017</t>
  </si>
  <si>
    <t>SEH2-2013</t>
  </si>
  <si>
    <t>SEH2-2015</t>
  </si>
  <si>
    <t>SEH2-2017</t>
  </si>
  <si>
    <t>MH1-2020</t>
  </si>
  <si>
    <t>MH2-2014</t>
  </si>
  <si>
    <t>MH1-2018</t>
  </si>
  <si>
    <t>MH1-2021</t>
  </si>
  <si>
    <t>MH1-2022</t>
  </si>
  <si>
    <t>MH1-2019</t>
  </si>
  <si>
    <t>MH2-2018</t>
  </si>
  <si>
    <t>MH1-2023</t>
  </si>
  <si>
    <t>MH1-2028</t>
  </si>
  <si>
    <t>MH2-2028</t>
  </si>
  <si>
    <t>MH1-2029</t>
  </si>
  <si>
    <t>MH2-2019</t>
  </si>
  <si>
    <t>MH1-2024</t>
  </si>
  <si>
    <t>MH2-2022</t>
  </si>
  <si>
    <t>MH1-2026</t>
  </si>
  <si>
    <t xml:space="preserve">MH2-2026    </t>
  </si>
  <si>
    <t xml:space="preserve">MH3-2026    </t>
  </si>
  <si>
    <t xml:space="preserve">MH4-2026    </t>
  </si>
  <si>
    <t xml:space="preserve">MH1-2029    </t>
  </si>
  <si>
    <t xml:space="preserve">MH2-2022    </t>
  </si>
  <si>
    <t>DOMINICAN REPUBLIC</t>
  </si>
  <si>
    <t>MINISTRY OF FINANCE</t>
  </si>
  <si>
    <t>PUBLIC DEBT OFFICE</t>
  </si>
  <si>
    <t xml:space="preserve">Rest of Public Sector Domestic Bond Issues </t>
  </si>
  <si>
    <t>In Millions of Dominican Peso (DOP)</t>
  </si>
  <si>
    <t>Bond Reference</t>
  </si>
  <si>
    <t>Issue / Exchange Date</t>
  </si>
  <si>
    <t>Maturity Date</t>
  </si>
  <si>
    <t>Coupon Rate</t>
  </si>
  <si>
    <t>Currency</t>
  </si>
  <si>
    <t>Amount Authorized</t>
  </si>
  <si>
    <t>Amount Issued</t>
  </si>
  <si>
    <t>Reimbursed</t>
  </si>
  <si>
    <t>Outstanding Amount</t>
  </si>
  <si>
    <t>Recapitalization Plan of the Central Bank Bonds (Law No. 167-07)</t>
  </si>
  <si>
    <t>Ministry of Finance Auction Bonds during 2010 (Law No. 366-09)</t>
  </si>
  <si>
    <t>Ministry of Finance Auction Bonds during 2011 (Law No. 131-11)</t>
  </si>
  <si>
    <t>Ministry of Finance Auction Bonds during 2012 (Law No. 361-11)</t>
  </si>
  <si>
    <t>Ministry of Finance Auction Bonds during 2013 (Law No. 58-13)</t>
  </si>
  <si>
    <t>Ministry of Finance Auction Bonds during 2014 (Law No. 152-14)</t>
  </si>
  <si>
    <t>Ministry of Finance Auction Bonds during 2015  (Law No. 548-14)</t>
  </si>
  <si>
    <t>Ministry of Finance Auction Bonds during 2016  (Law No. 331-15)</t>
  </si>
  <si>
    <t xml:space="preserve">** Domestic Bond Laws available in Legal Framework Section. </t>
  </si>
  <si>
    <t>Domestic Bonds Issues by the Public Sector</t>
  </si>
  <si>
    <t xml:space="preserve">MH1-2027    </t>
  </si>
  <si>
    <t>2012-14-0003 (Law No. 175-12)</t>
  </si>
  <si>
    <t>Fixed 7%</t>
  </si>
  <si>
    <t>Bond 3 years</t>
  </si>
  <si>
    <t>Bond 5 years</t>
  </si>
  <si>
    <t>Fixed 12%</t>
  </si>
  <si>
    <t>Bond 7 years</t>
  </si>
  <si>
    <t>Fixed 14%</t>
  </si>
  <si>
    <t>Fixed 10.5%</t>
  </si>
  <si>
    <t>Fixed 16%</t>
  </si>
  <si>
    <t>Fixed 13.5%</t>
  </si>
  <si>
    <t>Fixed 11.7%</t>
  </si>
  <si>
    <t>Fixed 14.0%</t>
  </si>
  <si>
    <t>Fixed 15.95%</t>
  </si>
  <si>
    <t>Fixed 16.95%</t>
  </si>
  <si>
    <t>Fixed 15.00%</t>
  </si>
  <si>
    <t>Fixed 12.50%</t>
  </si>
  <si>
    <t>Fixed 14.50%</t>
  </si>
  <si>
    <t>Fixed 18.50%</t>
  </si>
  <si>
    <t>Fixed 13.50%</t>
  </si>
  <si>
    <t>Fixed 10.40%</t>
  </si>
  <si>
    <t>Fixed 11.50%</t>
  </si>
  <si>
    <t>Fixed 11.375%</t>
  </si>
  <si>
    <t>Fixed 10.375%</t>
  </si>
  <si>
    <t>Fixed 11.500%</t>
  </si>
  <si>
    <t>Fixed 10.875%</t>
  </si>
  <si>
    <t>Fixed 11.000%</t>
  </si>
  <si>
    <t>Ministry of Finance Auction Bonds during 2017  (Law No. 693-16)</t>
  </si>
  <si>
    <t>MH-USD2027 (Law 687-16)</t>
  </si>
  <si>
    <t xml:space="preserve">MH2-2023    </t>
  </si>
  <si>
    <t xml:space="preserve">MH1-2032    </t>
  </si>
  <si>
    <t>Fixed 10.500%</t>
  </si>
  <si>
    <t>Fixed 12.000%</t>
  </si>
  <si>
    <t>Fixed 10.2606%</t>
  </si>
  <si>
    <t>Fixed 11.250%</t>
  </si>
  <si>
    <t>Ministry of Finance Auction Bonds during 2018  (Law No. 248-17)</t>
  </si>
  <si>
    <t>TOTAL EN RD$</t>
  </si>
  <si>
    <t>MH3-2028</t>
  </si>
  <si>
    <t>MH2-2023</t>
  </si>
  <si>
    <t>Fixed 10.750%</t>
  </si>
  <si>
    <t>Ministry of Finance Auction Bonds during 2019  (Law No. 64-18)</t>
  </si>
  <si>
    <t xml:space="preserve">MH2-2024    </t>
  </si>
  <si>
    <t xml:space="preserve">MH1-2034    </t>
  </si>
  <si>
    <t>Fixed 10.25%</t>
  </si>
  <si>
    <t xml:space="preserve">MH3-2028    </t>
  </si>
  <si>
    <t xml:space="preserve">MH2-2029    </t>
  </si>
  <si>
    <t>MH-USD2026 (Law No. 493-19)</t>
  </si>
  <si>
    <t>Fixed 6.65%</t>
  </si>
  <si>
    <t>MH1-2030</t>
  </si>
  <si>
    <t>Fixed 10.3750%</t>
  </si>
  <si>
    <t>Ministry of Finance Auction Bonds during 2020  (Law No. 512-19)</t>
  </si>
  <si>
    <t>MH-DP2026 (Ley No. 493-19)</t>
  </si>
  <si>
    <t>Rest of Public Sector Domestic Bond Issues (Unmaterialized loans)</t>
  </si>
  <si>
    <t>Fixed 6.25%</t>
  </si>
  <si>
    <t>MH1-2040</t>
  </si>
  <si>
    <t>Fixed 11.3750%</t>
  </si>
  <si>
    <t>Fixed 6%</t>
  </si>
  <si>
    <t>COV-2030</t>
  </si>
  <si>
    <t>COV-2035</t>
  </si>
  <si>
    <t>COV-2040</t>
  </si>
  <si>
    <t>Fixed 10.0000%</t>
  </si>
  <si>
    <t>Fixed 10.2500%</t>
  </si>
  <si>
    <t>Fixed 10.8750%</t>
  </si>
  <si>
    <t>MH-USD2029 (Ley No. 512-19)</t>
  </si>
  <si>
    <t>Fixed 6.95%</t>
  </si>
  <si>
    <t>INF-2040</t>
  </si>
  <si>
    <t>Fixed 6.75%</t>
  </si>
  <si>
    <t>MH-USD2040 (Ley No. 512-19)*</t>
  </si>
  <si>
    <t>*The authorized amount uses the exchange rate from the Law of the General Budget of the Government (Law No.506-19) and its modification to the Public Debt Securities Law  (Law No. 68-20).</t>
  </si>
  <si>
    <t>MH1-2035</t>
  </si>
  <si>
    <t>Ministry of Finance Auction Bonds during 2021  (Law No. 243-20)</t>
  </si>
  <si>
    <t>Ministry of Finance Auction Bonds during 2021 (Law No. 243-20)</t>
  </si>
  <si>
    <t>MH4-2028</t>
  </si>
  <si>
    <t>MH1-2031</t>
  </si>
  <si>
    <t>In Millions of Dollars (USD)</t>
  </si>
  <si>
    <t>sss</t>
  </si>
  <si>
    <t>Fixed 8%</t>
  </si>
  <si>
    <t>Fixed 8.0000%</t>
  </si>
  <si>
    <t>Fixed 8.6250%</t>
  </si>
  <si>
    <t>Ministry of Finance Auction Bonds during 2022 (Law No. 348-21)</t>
  </si>
  <si>
    <t>Ministry of Finance Auction Bonds during 2022  (Law No. 348-21)</t>
  </si>
  <si>
    <t>MH2-2034</t>
  </si>
  <si>
    <t>MH3-2029</t>
  </si>
  <si>
    <t>Fixed 13.0000%</t>
  </si>
  <si>
    <t>Fixed 12.7500%</t>
  </si>
  <si>
    <t>Fixed 9.5%</t>
  </si>
  <si>
    <t>Fixed 12.75%</t>
  </si>
  <si>
    <t>Fixed 11.5%</t>
  </si>
  <si>
    <t>MH3-2034</t>
  </si>
  <si>
    <t>Fixed 13.625%</t>
  </si>
  <si>
    <t>Ministry of Finance Auction Bonds during 2023  (Law No. 01-23)</t>
  </si>
  <si>
    <t>Ministry of Finance Auction Bonds during 2023 (Law No. 01-23)</t>
  </si>
  <si>
    <t>Fixed 10.6%</t>
  </si>
  <si>
    <t>Fixed 10%</t>
  </si>
  <si>
    <t>Fixed 9.75%</t>
  </si>
  <si>
    <t>MH2-2031</t>
  </si>
  <si>
    <t>Ministry of Finance Auction Bonds during 2024  (Law No. 07-24)</t>
  </si>
  <si>
    <t>Ministry of Finance Auction Bonds during 2024 (Law No. 07-24)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</si>
</sst>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dd\-mmm\-yyyy"/>
    <numFmt numFmtId="165" formatCode="#,##0.000"/>
    <numFmt numFmtId="166" formatCode="dd\-mmm\-yyyy;@"/>
    <numFmt numFmtId="167" formatCode="0.0000000000"/>
    <numFmt numFmtId="168" formatCode="0.000%"/>
    <numFmt numFmtId="169" formatCode="[$-409]d\-mmm\-yyyy;@"/>
    <numFmt numFmtId="170" formatCode="[$-C0A]d\-mmm\-yyyy;@"/>
    <numFmt numFmtId="171" formatCode="&quot;RD$&quot;#,##0_);\(&quot;RD$&quot;#,##0\)"/>
    <numFmt numFmtId="172" formatCode="_(* #,##0.0_);_(* \(#,##0.0\);_(* &quot;-&quot;??_);_(@_)"/>
    <numFmt numFmtId="173" formatCode="[$-409]d\-mmm\-yy;@"/>
    <numFmt numFmtId="174" formatCode="_(* #,##0.00000_);_(* \(#,##0.00000\);_(* &quot;-&quot;??_);_(@_)"/>
    <numFmt numFmtId="175" formatCode="[$-140A]\ dd&quot;-&quot;mmm&quot;-&quot;yyyy;@"/>
  </numFmts>
  <fonts count="2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9"/>
      <color theme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9"/>
      <color rgb="FF555864"/>
      <name val="Arial"/>
      <family val="2"/>
    </font>
    <font>
      <sz val="11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9" fontId="17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 wrapText="1"/>
    </xf>
    <xf numFmtId="43" fontId="8" fillId="0" borderId="0" xfId="1" applyFont="1" applyAlignment="1">
      <alignment horizontal="center" vertical="center"/>
    </xf>
    <xf numFmtId="9" fontId="7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7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" wrapText="1"/>
    </xf>
    <xf numFmtId="0" fontId="9" fillId="0" borderId="0" xfId="0" applyFont="1"/>
    <xf numFmtId="43" fontId="9" fillId="0" borderId="0" xfId="0" applyNumberFormat="1" applyFont="1"/>
    <xf numFmtId="0" fontId="10" fillId="0" borderId="0" xfId="0" applyFont="1" applyAlignment="1">
      <alignment horizontal="right" wrapText="1"/>
    </xf>
    <xf numFmtId="43" fontId="2" fillId="0" borderId="1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right" wrapText="1"/>
    </xf>
    <xf numFmtId="43" fontId="3" fillId="2" borderId="1" xfId="0" applyNumberFormat="1" applyFont="1" applyFill="1" applyBorder="1" applyAlignment="1">
      <alignment horizontal="center" wrapText="1"/>
    </xf>
    <xf numFmtId="43" fontId="7" fillId="2" borderId="0" xfId="1" applyFont="1" applyFill="1" applyAlignment="1">
      <alignment horizontal="center" vertical="center"/>
    </xf>
    <xf numFmtId="43" fontId="8" fillId="2" borderId="0" xfId="1" applyFont="1" applyFill="1" applyAlignment="1">
      <alignment horizontal="right" vertical="center"/>
    </xf>
    <xf numFmtId="9" fontId="7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14" fillId="0" borderId="0" xfId="0" applyFont="1"/>
    <xf numFmtId="0" fontId="14" fillId="2" borderId="0" xfId="0" applyFont="1" applyFill="1"/>
    <xf numFmtId="0" fontId="15" fillId="0" borderId="0" xfId="0" applyFont="1"/>
    <xf numFmtId="0" fontId="14" fillId="2" borderId="0" xfId="0" applyFont="1" applyFill="1" applyAlignment="1">
      <alignment vertical="center"/>
    </xf>
    <xf numFmtId="0" fontId="4" fillId="0" borderId="0" xfId="0" applyFont="1"/>
    <xf numFmtId="0" fontId="16" fillId="0" borderId="0" xfId="0" applyFont="1"/>
    <xf numFmtId="0" fontId="11" fillId="0" borderId="0" xfId="0" applyFont="1"/>
    <xf numFmtId="43" fontId="8" fillId="2" borderId="0" xfId="0" applyNumberFormat="1" applyFont="1" applyFill="1"/>
    <xf numFmtId="43" fontId="7" fillId="2" borderId="0" xfId="0" applyNumberFormat="1" applyFont="1" applyFill="1"/>
    <xf numFmtId="43" fontId="2" fillId="0" borderId="1" xfId="0" applyNumberFormat="1" applyFont="1" applyBorder="1" applyAlignment="1">
      <alignment horizontal="right" wrapText="1"/>
    </xf>
    <xf numFmtId="16" fontId="14" fillId="0" borderId="0" xfId="0" applyNumberFormat="1" applyFont="1"/>
    <xf numFmtId="43" fontId="2" fillId="0" borderId="1" xfId="0" applyNumberFormat="1" applyFont="1" applyBorder="1" applyAlignment="1">
      <alignment wrapText="1"/>
    </xf>
    <xf numFmtId="43" fontId="7" fillId="2" borderId="0" xfId="1" applyFont="1" applyFill="1" applyAlignment="1">
      <alignment vertical="center"/>
    </xf>
    <xf numFmtId="43" fontId="7" fillId="0" borderId="0" xfId="1" applyFont="1" applyFill="1" applyAlignment="1">
      <alignment horizontal="center" vertical="center"/>
    </xf>
    <xf numFmtId="43" fontId="7" fillId="0" borderId="0" xfId="0" applyNumberFormat="1" applyFont="1"/>
    <xf numFmtId="43" fontId="8" fillId="0" borderId="0" xfId="0" applyNumberFormat="1" applyFont="1"/>
    <xf numFmtId="43" fontId="8" fillId="2" borderId="0" xfId="1" applyFont="1" applyFill="1" applyAlignment="1">
      <alignment vertical="center"/>
    </xf>
    <xf numFmtId="43" fontId="10" fillId="2" borderId="1" xfId="0" applyNumberFormat="1" applyFont="1" applyFill="1" applyBorder="1" applyAlignment="1">
      <alignment horizontal="right" wrapText="1"/>
    </xf>
    <xf numFmtId="43" fontId="3" fillId="2" borderId="0" xfId="1" applyFont="1" applyFill="1" applyAlignment="1">
      <alignment horizontal="right" vertical="center"/>
    </xf>
    <xf numFmtId="43" fontId="3" fillId="2" borderId="0" xfId="1" applyFont="1" applyFill="1" applyBorder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168" fontId="7" fillId="2" borderId="0" xfId="6" applyNumberFormat="1" applyFont="1" applyFill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9" fontId="1" fillId="2" borderId="0" xfId="1" applyNumberFormat="1" applyFont="1" applyFill="1" applyBorder="1" applyAlignment="1">
      <alignment horizontal="center" vertical="center"/>
    </xf>
    <xf numFmtId="4" fontId="7" fillId="0" borderId="0" xfId="0" applyNumberFormat="1" applyFont="1"/>
    <xf numFmtId="43" fontId="1" fillId="2" borderId="0" xfId="1" applyFont="1" applyFill="1"/>
    <xf numFmtId="0" fontId="18" fillId="0" borderId="0" xfId="0" applyFont="1"/>
    <xf numFmtId="169" fontId="7" fillId="2" borderId="0" xfId="0" applyNumberFormat="1" applyFont="1" applyFill="1" applyAlignment="1">
      <alignment vertical="center" wrapText="1"/>
    </xf>
    <xf numFmtId="170" fontId="1" fillId="2" borderId="0" xfId="0" applyNumberFormat="1" applyFont="1" applyFill="1" applyAlignment="1">
      <alignment vertical="center" wrapText="1"/>
    </xf>
    <xf numFmtId="169" fontId="1" fillId="2" borderId="0" xfId="0" applyNumberFormat="1" applyFont="1" applyFill="1" applyAlignment="1">
      <alignment vertical="center" wrapText="1"/>
    </xf>
    <xf numFmtId="9" fontId="1" fillId="0" borderId="0" xfId="1" applyNumberFormat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/>
    <xf numFmtId="43" fontId="1" fillId="0" borderId="0" xfId="1" applyFont="1"/>
    <xf numFmtId="0" fontId="13" fillId="0" borderId="0" xfId="3" applyAlignment="1" applyProtection="1">
      <alignment horizontal="left" indent="1"/>
    </xf>
    <xf numFmtId="4" fontId="1" fillId="0" borderId="0" xfId="0" applyNumberFormat="1" applyFont="1"/>
    <xf numFmtId="43" fontId="1" fillId="0" borderId="0" xfId="0" applyNumberFormat="1" applyFont="1"/>
    <xf numFmtId="9" fontId="1" fillId="2" borderId="0" xfId="1" applyNumberFormat="1" applyFont="1" applyFill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7" fillId="0" borderId="0" xfId="0" applyFont="1"/>
    <xf numFmtId="43" fontId="7" fillId="0" borderId="0" xfId="1" applyFont="1"/>
    <xf numFmtId="167" fontId="7" fillId="0" borderId="0" xfId="0" applyNumberFormat="1" applyFont="1"/>
    <xf numFmtId="0" fontId="1" fillId="2" borderId="0" xfId="0" applyFont="1" applyFill="1" applyAlignment="1">
      <alignment horizontal="center" vertical="center"/>
    </xf>
    <xf numFmtId="43" fontId="1" fillId="2" borderId="0" xfId="1" applyFont="1" applyFill="1" applyBorder="1" applyAlignment="1">
      <alignment horizontal="center" vertical="center"/>
    </xf>
    <xf numFmtId="0" fontId="1" fillId="2" borderId="0" xfId="0" applyFont="1" applyFill="1"/>
    <xf numFmtId="43" fontId="1" fillId="2" borderId="0" xfId="0" applyNumberFormat="1" applyFont="1" applyFill="1"/>
    <xf numFmtId="9" fontId="1" fillId="2" borderId="0" xfId="1" applyNumberFormat="1" applyFont="1" applyFill="1" applyAlignment="1">
      <alignment horizontal="center" vertical="center"/>
    </xf>
    <xf numFmtId="43" fontId="1" fillId="2" borderId="0" xfId="1" applyFont="1" applyFill="1" applyAlignment="1">
      <alignment horizontal="center" vertical="center"/>
    </xf>
    <xf numFmtId="43" fontId="1" fillId="2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43" fontId="1" fillId="0" borderId="0" xfId="1" applyFont="1" applyFill="1" applyAlignment="1">
      <alignment horizontal="center" vertical="center"/>
    </xf>
    <xf numFmtId="9" fontId="1" fillId="0" borderId="0" xfId="1" applyNumberFormat="1" applyFont="1" applyFill="1" applyAlignment="1">
      <alignment horizontal="center" vertical="center"/>
    </xf>
    <xf numFmtId="43" fontId="1" fillId="0" borderId="0" xfId="1" applyFont="1" applyFill="1" applyBorder="1"/>
    <xf numFmtId="43" fontId="1" fillId="2" borderId="0" xfId="1" applyFont="1" applyFill="1" applyBorder="1" applyAlignment="1">
      <alignment horizontal="right" vertical="center"/>
    </xf>
    <xf numFmtId="9" fontId="1" fillId="2" borderId="5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5" xfId="0" applyNumberFormat="1" applyFont="1" applyFill="1" applyBorder="1"/>
    <xf numFmtId="0" fontId="1" fillId="0" borderId="0" xfId="0" applyFont="1" applyAlignment="1">
      <alignment horizontal="center"/>
    </xf>
    <xf numFmtId="2" fontId="7" fillId="2" borderId="0" xfId="1" applyNumberFormat="1" applyFont="1" applyFill="1" applyAlignment="1">
      <alignment horizontal="right" vertical="center"/>
    </xf>
    <xf numFmtId="43" fontId="7" fillId="2" borderId="0" xfId="1" applyFont="1" applyFill="1" applyAlignment="1">
      <alignment horizontal="right" vertical="center"/>
    </xf>
    <xf numFmtId="3" fontId="20" fillId="0" borderId="0" xfId="0" applyNumberFormat="1" applyFont="1"/>
    <xf numFmtId="166" fontId="1" fillId="2" borderId="0" xfId="0" applyNumberFormat="1" applyFont="1" applyFill="1" applyAlignment="1">
      <alignment vertical="center" wrapText="1"/>
    </xf>
    <xf numFmtId="166" fontId="1" fillId="2" borderId="0" xfId="0" applyNumberFormat="1" applyFont="1" applyFill="1" applyAlignment="1">
      <alignment vertical="center"/>
    </xf>
    <xf numFmtId="0" fontId="1" fillId="0" borderId="1" xfId="0" applyFont="1" applyBorder="1"/>
    <xf numFmtId="165" fontId="1" fillId="0" borderId="0" xfId="0" applyNumberFormat="1" applyFont="1"/>
    <xf numFmtId="171" fontId="21" fillId="0" borderId="0" xfId="1" applyNumberFormat="1" applyFont="1" applyBorder="1" applyAlignment="1">
      <alignment vertical="center"/>
    </xf>
    <xf numFmtId="173" fontId="1" fillId="2" borderId="0" xfId="0" applyNumberFormat="1" applyFont="1" applyFill="1" applyAlignment="1">
      <alignment vertical="center" wrapText="1"/>
    </xf>
    <xf numFmtId="0" fontId="19" fillId="3" borderId="4" xfId="0" applyFont="1" applyFill="1" applyBorder="1" applyAlignment="1">
      <alignment horizontal="center" wrapText="1"/>
    </xf>
    <xf numFmtId="173" fontId="19" fillId="3" borderId="5" xfId="0" applyNumberFormat="1" applyFont="1" applyFill="1" applyBorder="1" applyAlignment="1">
      <alignment horizontal="center" wrapText="1"/>
    </xf>
    <xf numFmtId="166" fontId="7" fillId="2" borderId="0" xfId="0" applyNumberFormat="1" applyFont="1" applyFill="1" applyAlignment="1">
      <alignment vertical="center" wrapText="1"/>
    </xf>
    <xf numFmtId="43" fontId="2" fillId="2" borderId="1" xfId="0" applyNumberFormat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left" wrapText="1"/>
    </xf>
    <xf numFmtId="168" fontId="7" fillId="2" borderId="0" xfId="6" applyNumberFormat="1" applyFont="1" applyFill="1" applyAlignment="1">
      <alignment horizontal="center" vertical="center" wrapText="1"/>
    </xf>
    <xf numFmtId="43" fontId="7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22" fillId="0" borderId="0" xfId="0" applyFont="1"/>
    <xf numFmtId="3" fontId="1" fillId="0" borderId="0" xfId="0" applyNumberFormat="1" applyFont="1"/>
    <xf numFmtId="174" fontId="1" fillId="0" borderId="0" xfId="0" applyNumberFormat="1" applyFont="1"/>
    <xf numFmtId="172" fontId="7" fillId="2" borderId="0" xfId="1" applyNumberFormat="1" applyFont="1" applyFill="1" applyAlignment="1">
      <alignment vertical="center"/>
    </xf>
    <xf numFmtId="172" fontId="7" fillId="0" borderId="0" xfId="0" applyNumberFormat="1" applyFont="1"/>
    <xf numFmtId="175" fontId="19" fillId="3" borderId="5" xfId="0" applyNumberFormat="1" applyFont="1" applyFill="1" applyBorder="1" applyAlignment="1">
      <alignment horizontal="center" wrapText="1"/>
    </xf>
    <xf numFmtId="43" fontId="1" fillId="0" borderId="2" xfId="0" applyNumberFormat="1" applyFont="1" applyBorder="1" applyAlignment="1">
      <alignment horizontal="center" vertical="center"/>
    </xf>
    <xf numFmtId="43" fontId="14" fillId="0" borderId="0" xfId="0" applyNumberFormat="1" applyFont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4" applyFont="1" applyAlignment="1">
      <alignment horizontal="center"/>
    </xf>
  </cellXfs>
  <cellStyles count="7">
    <cellStyle name="Comma" xfId="1" builtinId="3"/>
    <cellStyle name="Comma 2 36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803088</xdr:colOff>
      <xdr:row>1</xdr:row>
      <xdr:rowOff>0</xdr:rowOff>
    </xdr:from>
    <xdr:to>
      <xdr:col>4</xdr:col>
      <xdr:colOff>1428564</xdr:colOff>
      <xdr:row>4</xdr:row>
      <xdr:rowOff>101737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679802-5C7A-4E39-B638-7898965273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5584264" y="156882"/>
          <a:ext cx="625476" cy="56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494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2" customWidth="1"/>
    <col min="2" max="2" width="30.85546875" style="55" customWidth="1"/>
    <col min="3" max="3" width="17.42578125" style="55" bestFit="1" customWidth="1"/>
    <col min="4" max="4" width="17.42578125" style="55" customWidth="1"/>
    <col min="5" max="5" width="22.42578125" style="55" customWidth="1"/>
    <col min="6" max="6" width="9.7109375" style="55" bestFit="1" customWidth="1"/>
    <col min="7" max="7" width="14.28515625" style="55" customWidth="1"/>
    <col min="8" max="8" width="16.7109375" style="55" bestFit="1" customWidth="1"/>
    <col min="9" max="9" width="15.42578125" style="55" customWidth="1"/>
    <col min="10" max="10" width="20.28515625" style="55" customWidth="1"/>
    <col min="11" max="12" width="18.7109375" style="55" bestFit="1" customWidth="1"/>
    <col min="13" max="13" width="15" style="55" bestFit="1" customWidth="1"/>
    <col min="14" max="14" width="16.7109375" style="55" bestFit="1" customWidth="1"/>
    <col min="15" max="16384" width="9.140625" style="55"/>
  </cols>
  <sheetData>
    <row r="6" spans="1:10" x14ac:dyDescent="0.2">
      <c r="B6" s="116" t="s">
        <v>36</v>
      </c>
      <c r="C6" s="116"/>
      <c r="D6" s="116"/>
      <c r="E6" s="116"/>
      <c r="F6" s="116"/>
      <c r="G6" s="116"/>
      <c r="H6" s="116"/>
      <c r="I6" s="116"/>
      <c r="J6" s="116"/>
    </row>
    <row r="7" spans="1:10" x14ac:dyDescent="0.2">
      <c r="B7" s="116" t="s">
        <v>35</v>
      </c>
      <c r="C7" s="116"/>
      <c r="D7" s="116"/>
      <c r="E7" s="116"/>
      <c r="F7" s="116"/>
      <c r="G7" s="116"/>
      <c r="H7" s="116"/>
      <c r="I7" s="116"/>
      <c r="J7" s="116"/>
    </row>
    <row r="8" spans="1:10" x14ac:dyDescent="0.2">
      <c r="B8" s="116" t="s">
        <v>34</v>
      </c>
      <c r="C8" s="116"/>
      <c r="D8" s="116"/>
      <c r="E8" s="116"/>
      <c r="F8" s="116"/>
      <c r="G8" s="116"/>
      <c r="H8" s="116"/>
      <c r="I8" s="116"/>
      <c r="J8" s="116"/>
    </row>
    <row r="9" spans="1:10" ht="6.75" customHeight="1" x14ac:dyDescent="0.2"/>
    <row r="10" spans="1:10" ht="6.75" customHeight="1" x14ac:dyDescent="0.2"/>
    <row r="11" spans="1:10" ht="6.75" customHeight="1" x14ac:dyDescent="0.2"/>
    <row r="12" spans="1:10" s="28" customFormat="1" ht="14.25" x14ac:dyDescent="0.2">
      <c r="A12" s="27"/>
      <c r="B12" s="26" t="s">
        <v>57</v>
      </c>
    </row>
    <row r="13" spans="1:10" ht="16.5" customHeight="1" x14ac:dyDescent="0.2">
      <c r="B13" s="57" t="s">
        <v>37</v>
      </c>
      <c r="C13" s="57"/>
      <c r="D13" s="57"/>
      <c r="E13" s="57"/>
      <c r="F13" s="57"/>
      <c r="G13" s="57"/>
      <c r="H13" s="57"/>
      <c r="I13" s="57"/>
      <c r="J13" s="57"/>
    </row>
    <row r="14" spans="1:10" ht="16.5" customHeight="1" x14ac:dyDescent="0.25">
      <c r="B14" s="57" t="s">
        <v>48</v>
      </c>
      <c r="C14" s="54"/>
      <c r="D14" s="54"/>
      <c r="E14" s="54"/>
      <c r="F14" s="54"/>
      <c r="G14" s="54"/>
      <c r="H14" s="54"/>
      <c r="I14" s="54"/>
      <c r="J14" s="54"/>
    </row>
    <row r="15" spans="1:10" ht="16.5" customHeight="1" x14ac:dyDescent="0.25">
      <c r="B15" s="57" t="s">
        <v>49</v>
      </c>
      <c r="C15" s="54"/>
      <c r="D15" s="54"/>
      <c r="E15" s="54"/>
      <c r="F15" s="54"/>
      <c r="G15" s="54"/>
      <c r="H15" s="54"/>
      <c r="I15" s="54"/>
      <c r="J15" s="54"/>
    </row>
    <row r="16" spans="1:10" ht="16.5" customHeight="1" x14ac:dyDescent="0.25">
      <c r="B16" s="57" t="s">
        <v>50</v>
      </c>
      <c r="C16" s="54"/>
      <c r="D16" s="54"/>
      <c r="E16" s="54"/>
      <c r="F16" s="54"/>
      <c r="G16" s="54"/>
      <c r="H16" s="54"/>
      <c r="I16" s="54"/>
      <c r="J16" s="54"/>
    </row>
    <row r="17" spans="2:10" ht="16.5" customHeight="1" x14ac:dyDescent="0.25">
      <c r="B17" s="57" t="s">
        <v>51</v>
      </c>
      <c r="C17" s="54"/>
      <c r="D17" s="54"/>
      <c r="E17" s="54"/>
      <c r="F17" s="54"/>
      <c r="G17" s="54"/>
      <c r="H17" s="54"/>
      <c r="I17" s="54"/>
      <c r="J17" s="54"/>
    </row>
    <row r="18" spans="2:10" ht="16.5" customHeight="1" x14ac:dyDescent="0.25">
      <c r="B18" s="57" t="s">
        <v>52</v>
      </c>
      <c r="C18" s="54"/>
      <c r="D18" s="54"/>
      <c r="E18" s="54"/>
      <c r="F18" s="54"/>
      <c r="G18" s="54"/>
      <c r="H18" s="54"/>
      <c r="I18" s="54"/>
      <c r="J18" s="54"/>
    </row>
    <row r="19" spans="2:10" ht="16.5" customHeight="1" x14ac:dyDescent="0.2">
      <c r="B19" s="57" t="s">
        <v>53</v>
      </c>
      <c r="C19" s="57"/>
      <c r="D19" s="57"/>
      <c r="E19" s="57"/>
      <c r="F19" s="57"/>
      <c r="G19" s="57"/>
      <c r="H19" s="57"/>
      <c r="I19" s="57"/>
      <c r="J19" s="57"/>
    </row>
    <row r="20" spans="2:10" ht="16.5" customHeight="1" x14ac:dyDescent="0.2">
      <c r="B20" s="57" t="s">
        <v>54</v>
      </c>
      <c r="C20" s="57"/>
      <c r="D20" s="57"/>
      <c r="E20" s="57"/>
      <c r="F20" s="57"/>
      <c r="G20" s="57"/>
      <c r="H20" s="57"/>
      <c r="I20" s="57"/>
      <c r="J20" s="57"/>
    </row>
    <row r="21" spans="2:10" ht="16.5" customHeight="1" x14ac:dyDescent="0.2">
      <c r="B21" s="57" t="s">
        <v>55</v>
      </c>
      <c r="C21" s="57"/>
      <c r="D21" s="57"/>
      <c r="E21" s="57"/>
      <c r="F21" s="57"/>
      <c r="G21" s="57"/>
      <c r="H21" s="57"/>
      <c r="I21" s="57"/>
      <c r="J21" s="57"/>
    </row>
    <row r="22" spans="2:10" ht="16.5" customHeight="1" x14ac:dyDescent="0.2">
      <c r="B22" s="57" t="s">
        <v>85</v>
      </c>
      <c r="C22" s="57"/>
      <c r="D22" s="57"/>
      <c r="E22" s="57"/>
      <c r="F22" s="57"/>
      <c r="G22" s="57"/>
      <c r="H22" s="57"/>
      <c r="I22" s="57"/>
      <c r="J22" s="57"/>
    </row>
    <row r="23" spans="2:10" ht="16.5" customHeight="1" x14ac:dyDescent="0.2">
      <c r="B23" s="57" t="s">
        <v>93</v>
      </c>
      <c r="C23" s="57"/>
      <c r="D23" s="57"/>
      <c r="E23" s="57"/>
      <c r="F23" s="57"/>
      <c r="G23" s="57"/>
      <c r="H23" s="57"/>
      <c r="I23" s="57"/>
      <c r="J23" s="57"/>
    </row>
    <row r="24" spans="2:10" ht="16.5" customHeight="1" x14ac:dyDescent="0.2">
      <c r="B24" s="57" t="s">
        <v>98</v>
      </c>
      <c r="C24" s="57"/>
      <c r="D24" s="57"/>
      <c r="E24" s="57"/>
      <c r="F24" s="57"/>
      <c r="G24" s="57"/>
      <c r="H24" s="57"/>
      <c r="I24" s="57"/>
      <c r="J24" s="57"/>
    </row>
    <row r="25" spans="2:10" ht="16.5" customHeight="1" x14ac:dyDescent="0.2">
      <c r="B25" s="57" t="s">
        <v>108</v>
      </c>
      <c r="C25" s="57"/>
      <c r="D25" s="57"/>
      <c r="E25" s="57"/>
      <c r="F25" s="57"/>
      <c r="G25" s="57"/>
      <c r="H25" s="57"/>
      <c r="I25" s="57"/>
      <c r="J25" s="57"/>
    </row>
    <row r="26" spans="2:10" ht="16.5" customHeight="1" x14ac:dyDescent="0.2">
      <c r="B26" s="57" t="s">
        <v>129</v>
      </c>
      <c r="C26" s="57"/>
      <c r="D26" s="57"/>
      <c r="E26" s="57"/>
      <c r="F26" s="57"/>
      <c r="G26" s="57"/>
      <c r="H26" s="57"/>
      <c r="I26" s="57"/>
      <c r="J26" s="57"/>
    </row>
    <row r="27" spans="2:10" ht="16.5" customHeight="1" x14ac:dyDescent="0.2">
      <c r="B27" s="57" t="s">
        <v>137</v>
      </c>
      <c r="C27" s="57"/>
      <c r="D27" s="57"/>
      <c r="E27" s="57"/>
      <c r="F27" s="57"/>
      <c r="G27" s="57"/>
      <c r="H27" s="57"/>
      <c r="I27" s="57"/>
      <c r="J27" s="57"/>
    </row>
    <row r="28" spans="2:10" x14ac:dyDescent="0.2">
      <c r="B28" s="57" t="s">
        <v>149</v>
      </c>
    </row>
    <row r="29" spans="2:10" x14ac:dyDescent="0.2">
      <c r="B29" s="57" t="s">
        <v>155</v>
      </c>
    </row>
    <row r="30" spans="2:10" ht="15" x14ac:dyDescent="0.25">
      <c r="B30" s="110" t="s">
        <v>37</v>
      </c>
      <c r="C30" s="110"/>
      <c r="D30" s="110"/>
      <c r="E30" s="110"/>
      <c r="F30" s="110"/>
      <c r="G30" s="110"/>
      <c r="H30" s="110"/>
      <c r="I30" s="110"/>
      <c r="J30" s="110"/>
    </row>
    <row r="31" spans="2:10" ht="6" customHeight="1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15" t="s">
        <v>132</v>
      </c>
      <c r="C32" s="115"/>
      <c r="D32" s="115"/>
      <c r="E32" s="115"/>
      <c r="F32" s="115"/>
      <c r="G32" s="115"/>
      <c r="H32" s="115"/>
      <c r="I32" s="115"/>
      <c r="J32" s="115"/>
    </row>
    <row r="33" spans="1:14" ht="27" customHeight="1" x14ac:dyDescent="0.2">
      <c r="B33" s="112" t="s">
        <v>39</v>
      </c>
      <c r="C33" s="112" t="s">
        <v>40</v>
      </c>
      <c r="D33" s="112" t="s">
        <v>41</v>
      </c>
      <c r="E33" s="112" t="s">
        <v>42</v>
      </c>
      <c r="F33" s="112" t="s">
        <v>43</v>
      </c>
      <c r="G33" s="112" t="s">
        <v>44</v>
      </c>
      <c r="H33" s="112" t="s">
        <v>45</v>
      </c>
      <c r="I33" s="112" t="s">
        <v>46</v>
      </c>
      <c r="J33" s="94" t="s">
        <v>47</v>
      </c>
    </row>
    <row r="34" spans="1:14" x14ac:dyDescent="0.2">
      <c r="B34" s="113"/>
      <c r="C34" s="113"/>
      <c r="D34" s="113"/>
      <c r="E34" s="113"/>
      <c r="F34" s="113"/>
      <c r="G34" s="113"/>
      <c r="H34" s="113"/>
      <c r="I34" s="113"/>
      <c r="J34" s="107">
        <v>45382</v>
      </c>
    </row>
    <row r="35" spans="1:14" x14ac:dyDescent="0.2">
      <c r="B35" s="1"/>
      <c r="C35" s="2"/>
      <c r="D35" s="1"/>
      <c r="E35" s="2"/>
      <c r="F35" s="2"/>
      <c r="G35" s="2"/>
      <c r="H35" s="3"/>
      <c r="I35" s="2"/>
      <c r="J35" s="1"/>
      <c r="L35" s="59"/>
    </row>
    <row r="36" spans="1:14" ht="18" customHeight="1" thickBot="1" x14ac:dyDescent="0.25">
      <c r="A36" s="22" t="s">
        <v>133</v>
      </c>
      <c r="B36" s="4"/>
      <c r="C36" s="2"/>
      <c r="D36" s="1"/>
      <c r="E36" s="13" t="s">
        <v>94</v>
      </c>
      <c r="F36" s="13"/>
      <c r="G36" s="39">
        <f>(G38*58.9846)</f>
        <v>501385.63594876206</v>
      </c>
      <c r="H36" s="39">
        <f t="shared" ref="H36:J36" si="0">(H38*58.9846)</f>
        <v>152416.2064</v>
      </c>
      <c r="I36" s="39">
        <f t="shared" si="0"/>
        <v>29492.3</v>
      </c>
      <c r="J36" s="39">
        <f t="shared" si="0"/>
        <v>122923.90640000001</v>
      </c>
      <c r="K36" s="59"/>
      <c r="L36" s="109">
        <f>SUM(J36,J54,J67,J87,J128,J157,J180,J219,J237,J262,J294,J329,J354,J393,J425,J444,J462,J485)</f>
        <v>948602.10640000005</v>
      </c>
      <c r="M36" s="104"/>
      <c r="N36" s="59"/>
    </row>
    <row r="37" spans="1:14" s="61" customFormat="1" ht="13.5" thickTop="1" x14ac:dyDescent="0.2">
      <c r="A37" s="23"/>
      <c r="B37" s="20"/>
      <c r="C37" s="49"/>
      <c r="D37" s="49"/>
      <c r="E37" s="19"/>
      <c r="F37" s="60"/>
      <c r="G37" s="17"/>
      <c r="H37" s="17"/>
      <c r="I37" s="34"/>
      <c r="J37" s="18"/>
      <c r="L37" s="109"/>
    </row>
    <row r="38" spans="1:14" s="61" customFormat="1" ht="13.5" thickBot="1" x14ac:dyDescent="0.25">
      <c r="A38" s="23"/>
      <c r="B38" s="20"/>
      <c r="C38" s="49"/>
      <c r="D38" s="49"/>
      <c r="E38" s="15" t="s">
        <v>2</v>
      </c>
      <c r="F38" s="15"/>
      <c r="G38" s="16">
        <f>SUM(G39:G43)</f>
        <v>8500.2803434924044</v>
      </c>
      <c r="H38" s="16">
        <f>SUM(H39:H43)</f>
        <v>2584</v>
      </c>
      <c r="I38" s="16">
        <f>SUM(I39:I43)</f>
        <v>500</v>
      </c>
      <c r="J38" s="16">
        <f>SUM(J39:J43)</f>
        <v>2084</v>
      </c>
      <c r="L38" s="30"/>
    </row>
    <row r="39" spans="1:14" s="62" customFormat="1" ht="18.75" customHeight="1" thickTop="1" x14ac:dyDescent="0.2">
      <c r="A39" s="25"/>
      <c r="B39" s="20" t="s">
        <v>59</v>
      </c>
      <c r="C39" s="51">
        <v>41121</v>
      </c>
      <c r="D39" s="50">
        <v>45138</v>
      </c>
      <c r="E39" s="19" t="s">
        <v>60</v>
      </c>
      <c r="F39" s="19" t="s">
        <v>1</v>
      </c>
      <c r="G39" s="17">
        <v>500</v>
      </c>
      <c r="H39" s="17">
        <v>500</v>
      </c>
      <c r="I39" s="38">
        <f>IF($J$34&gt;=D39,H39,397.065)</f>
        <v>500</v>
      </c>
      <c r="J39" s="18">
        <f t="shared" ref="J39:J43" si="1">+H39-I39</f>
        <v>0</v>
      </c>
    </row>
    <row r="40" spans="1:14" s="62" customFormat="1" ht="18.75" customHeight="1" x14ac:dyDescent="0.2">
      <c r="A40" s="25"/>
      <c r="B40" s="20" t="s">
        <v>86</v>
      </c>
      <c r="C40" s="51">
        <v>42719</v>
      </c>
      <c r="D40" s="50">
        <v>46451</v>
      </c>
      <c r="E40" s="19" t="s">
        <v>114</v>
      </c>
      <c r="F40" s="19" t="s">
        <v>1</v>
      </c>
      <c r="G40" s="17">
        <v>100</v>
      </c>
      <c r="H40" s="17">
        <v>95</v>
      </c>
      <c r="I40" s="38">
        <f t="shared" ref="I40:I41" si="2">IF($J$34&gt;=D40,H40,0)</f>
        <v>0</v>
      </c>
      <c r="J40" s="18">
        <f t="shared" si="1"/>
        <v>95</v>
      </c>
      <c r="L40" s="105"/>
    </row>
    <row r="41" spans="1:14" s="62" customFormat="1" ht="18.75" customHeight="1" x14ac:dyDescent="0.2">
      <c r="A41" s="25"/>
      <c r="B41" s="20" t="s">
        <v>104</v>
      </c>
      <c r="C41" s="51">
        <v>43826</v>
      </c>
      <c r="D41" s="50">
        <v>46383</v>
      </c>
      <c r="E41" s="19" t="s">
        <v>105</v>
      </c>
      <c r="F41" s="19" t="s">
        <v>1</v>
      </c>
      <c r="G41" s="17">
        <v>600</v>
      </c>
      <c r="H41" s="17">
        <v>600</v>
      </c>
      <c r="I41" s="38">
        <f t="shared" si="2"/>
        <v>0</v>
      </c>
      <c r="J41" s="18">
        <f t="shared" si="1"/>
        <v>600</v>
      </c>
      <c r="L41" s="100"/>
    </row>
    <row r="42" spans="1:14" s="62" customFormat="1" ht="18.75" customHeight="1" x14ac:dyDescent="0.2">
      <c r="A42" s="25"/>
      <c r="B42" s="20" t="s">
        <v>121</v>
      </c>
      <c r="C42" s="51">
        <v>44008</v>
      </c>
      <c r="D42" s="50">
        <v>47295</v>
      </c>
      <c r="E42" s="43" t="s">
        <v>122</v>
      </c>
      <c r="F42" s="19" t="s">
        <v>1</v>
      </c>
      <c r="G42" s="17">
        <f>489000000/1000000</f>
        <v>489</v>
      </c>
      <c r="H42" s="17">
        <f>489000000/1000000</f>
        <v>489</v>
      </c>
      <c r="I42" s="38">
        <f>IF($J$35&gt;=D42,H42,0)</f>
        <v>0</v>
      </c>
      <c r="J42" s="18">
        <f t="shared" si="1"/>
        <v>489</v>
      </c>
    </row>
    <row r="43" spans="1:14" s="62" customFormat="1" ht="18.75" customHeight="1" x14ac:dyDescent="0.2">
      <c r="A43" s="25"/>
      <c r="B43" s="20" t="s">
        <v>125</v>
      </c>
      <c r="C43" s="51">
        <v>44036</v>
      </c>
      <c r="D43" s="50">
        <v>51341</v>
      </c>
      <c r="E43" s="43" t="s">
        <v>124</v>
      </c>
      <c r="F43" s="19" t="s">
        <v>1</v>
      </c>
      <c r="G43" s="17">
        <v>6811.2803434924044</v>
      </c>
      <c r="H43" s="17">
        <v>900</v>
      </c>
      <c r="I43" s="38">
        <f>IF($J$35&gt;=D43,H43,0)</f>
        <v>0</v>
      </c>
      <c r="J43" s="18">
        <f t="shared" si="1"/>
        <v>900</v>
      </c>
      <c r="K43" s="100"/>
      <c r="L43" s="100"/>
    </row>
    <row r="44" spans="1:14" ht="7.5" customHeight="1" thickBot="1" x14ac:dyDescent="0.25">
      <c r="B44" s="63"/>
      <c r="C44" s="63"/>
      <c r="D44" s="63"/>
      <c r="E44" s="63"/>
      <c r="F44" s="63"/>
      <c r="G44" s="63"/>
      <c r="H44" s="63"/>
      <c r="I44" s="63"/>
      <c r="J44" s="63"/>
    </row>
    <row r="45" spans="1:14" x14ac:dyDescent="0.2">
      <c r="B45" s="101" t="s">
        <v>126</v>
      </c>
      <c r="C45" s="75"/>
      <c r="D45" s="75"/>
      <c r="E45" s="75"/>
      <c r="F45" s="75"/>
      <c r="G45" s="75"/>
      <c r="H45" s="75"/>
      <c r="I45" s="75"/>
      <c r="J45" s="75"/>
      <c r="L45" s="59"/>
    </row>
    <row r="46" spans="1:14" s="65" customFormat="1" x14ac:dyDescent="0.2">
      <c r="A46" s="22"/>
      <c r="B46" s="8"/>
      <c r="C46" s="9"/>
      <c r="D46" s="9"/>
      <c r="E46" s="7"/>
      <c r="F46" s="35"/>
      <c r="G46" s="35"/>
      <c r="H46" s="64"/>
      <c r="I46" s="6"/>
      <c r="J46" s="46"/>
    </row>
    <row r="47" spans="1:14" s="65" customFormat="1" x14ac:dyDescent="0.2">
      <c r="A47" s="22"/>
      <c r="B47" s="8"/>
      <c r="C47" s="9"/>
      <c r="D47" s="9"/>
      <c r="E47" s="7"/>
      <c r="F47" s="35"/>
      <c r="G47" s="35"/>
      <c r="H47" s="64"/>
      <c r="I47" s="6"/>
      <c r="J47" s="46"/>
      <c r="L47" s="36"/>
    </row>
    <row r="48" spans="1:14" s="65" customFormat="1" ht="15" x14ac:dyDescent="0.25">
      <c r="A48" s="22"/>
      <c r="B48" s="110" t="s">
        <v>110</v>
      </c>
      <c r="C48" s="110"/>
      <c r="D48" s="110"/>
      <c r="E48" s="110"/>
      <c r="F48" s="110"/>
      <c r="G48" s="110"/>
      <c r="H48" s="110"/>
      <c r="I48" s="110"/>
      <c r="J48" s="110"/>
    </row>
    <row r="49" spans="1:12" s="65" customFormat="1" x14ac:dyDescent="0.2">
      <c r="A49" s="22"/>
      <c r="B49" s="1"/>
      <c r="C49" s="1"/>
      <c r="D49" s="1"/>
      <c r="E49" s="1"/>
      <c r="F49" s="1"/>
      <c r="G49" s="1"/>
      <c r="H49" s="1"/>
      <c r="I49" s="1"/>
      <c r="J49" s="1"/>
    </row>
    <row r="50" spans="1:12" s="65" customFormat="1" x14ac:dyDescent="0.2">
      <c r="A50" s="22"/>
      <c r="B50" s="115" t="s">
        <v>132</v>
      </c>
      <c r="C50" s="115"/>
      <c r="D50" s="115"/>
      <c r="E50" s="115"/>
      <c r="F50" s="115"/>
      <c r="G50" s="115"/>
      <c r="H50" s="115"/>
      <c r="I50" s="115"/>
      <c r="J50" s="115"/>
    </row>
    <row r="51" spans="1:12" s="65" customFormat="1" ht="26.25" customHeight="1" x14ac:dyDescent="0.2">
      <c r="A51" s="22"/>
      <c r="B51" s="112" t="s">
        <v>39</v>
      </c>
      <c r="C51" s="112" t="s">
        <v>40</v>
      </c>
      <c r="D51" s="112" t="s">
        <v>41</v>
      </c>
      <c r="E51" s="112" t="s">
        <v>42</v>
      </c>
      <c r="F51" s="112" t="s">
        <v>43</v>
      </c>
      <c r="G51" s="112" t="s">
        <v>44</v>
      </c>
      <c r="H51" s="112" t="s">
        <v>45</v>
      </c>
      <c r="I51" s="112" t="s">
        <v>46</v>
      </c>
      <c r="J51" s="94" t="s">
        <v>47</v>
      </c>
    </row>
    <row r="52" spans="1:12" s="65" customFormat="1" x14ac:dyDescent="0.2">
      <c r="A52" s="22"/>
      <c r="B52" s="113"/>
      <c r="C52" s="113"/>
      <c r="D52" s="113"/>
      <c r="E52" s="113"/>
      <c r="F52" s="113"/>
      <c r="G52" s="113"/>
      <c r="H52" s="113"/>
      <c r="I52" s="113"/>
      <c r="J52" s="95">
        <f>J34</f>
        <v>45382</v>
      </c>
    </row>
    <row r="53" spans="1:12" s="65" customFormat="1" x14ac:dyDescent="0.2">
      <c r="A53" s="22"/>
      <c r="B53" s="1"/>
      <c r="C53" s="2"/>
      <c r="D53" s="1"/>
      <c r="E53" s="2"/>
      <c r="F53" s="2"/>
      <c r="G53" s="2"/>
      <c r="H53" s="3"/>
      <c r="I53" s="2"/>
      <c r="J53" s="1"/>
      <c r="K53" s="36"/>
    </row>
    <row r="54" spans="1:12" s="65" customFormat="1" ht="15" thickBot="1" x14ac:dyDescent="0.25">
      <c r="A54" s="22" t="s">
        <v>133</v>
      </c>
      <c r="B54" s="4"/>
      <c r="C54" s="2"/>
      <c r="D54" s="1"/>
      <c r="E54" s="13" t="s">
        <v>94</v>
      </c>
      <c r="F54" s="13"/>
      <c r="G54" s="39">
        <f>(G56*58.5334)</f>
        <v>28974.032999999999</v>
      </c>
      <c r="H54" s="39">
        <f t="shared" ref="H54:J54" si="3">(H56*58.5334)</f>
        <v>28974.032999999999</v>
      </c>
      <c r="I54" s="39">
        <f t="shared" si="3"/>
        <v>28974.032999999999</v>
      </c>
      <c r="J54" s="39">
        <f t="shared" si="3"/>
        <v>0</v>
      </c>
    </row>
    <row r="55" spans="1:12" s="65" customFormat="1" ht="13.5" thickTop="1" x14ac:dyDescent="0.2">
      <c r="A55" s="22"/>
      <c r="B55" s="20"/>
      <c r="C55" s="96"/>
      <c r="D55" s="96"/>
      <c r="E55" s="19"/>
      <c r="F55" s="60"/>
      <c r="G55" s="17"/>
      <c r="H55" s="17"/>
      <c r="I55" s="34"/>
      <c r="J55" s="18"/>
    </row>
    <row r="56" spans="1:12" s="65" customFormat="1" ht="15.75" thickBot="1" x14ac:dyDescent="0.3">
      <c r="A56" s="22"/>
      <c r="B56" s="20"/>
      <c r="C56" s="96"/>
      <c r="D56" s="96"/>
      <c r="E56" s="15" t="s">
        <v>2</v>
      </c>
      <c r="F56" s="15"/>
      <c r="G56" s="97">
        <f>G57+G61+G62</f>
        <v>495</v>
      </c>
      <c r="H56" s="97">
        <f>H57+H61+H62</f>
        <v>495</v>
      </c>
      <c r="I56" s="98">
        <v>495</v>
      </c>
      <c r="J56" s="97">
        <f>J57</f>
        <v>0</v>
      </c>
      <c r="L56" s="106"/>
    </row>
    <row r="57" spans="1:12" s="65" customFormat="1" ht="13.5" thickTop="1" x14ac:dyDescent="0.2">
      <c r="A57" s="22"/>
      <c r="B57" s="20" t="s">
        <v>109</v>
      </c>
      <c r="C57" s="51">
        <v>43829</v>
      </c>
      <c r="D57" s="50">
        <v>46382</v>
      </c>
      <c r="E57" s="19" t="s">
        <v>111</v>
      </c>
      <c r="F57" s="19" t="s">
        <v>1</v>
      </c>
      <c r="G57" s="17">
        <v>495</v>
      </c>
      <c r="H57" s="17">
        <v>495</v>
      </c>
      <c r="I57" s="38">
        <v>495</v>
      </c>
      <c r="J57" s="18">
        <f>+H57-I57</f>
        <v>0</v>
      </c>
    </row>
    <row r="58" spans="1:12" s="65" customFormat="1" x14ac:dyDescent="0.2">
      <c r="A58" s="22"/>
      <c r="B58" s="20"/>
      <c r="C58" s="50"/>
      <c r="D58" s="50"/>
      <c r="E58" s="19"/>
      <c r="F58" s="19"/>
      <c r="G58" s="17"/>
      <c r="H58" s="17"/>
      <c r="I58" s="38"/>
      <c r="J58" s="18"/>
    </row>
    <row r="59" spans="1:12" s="65" customFormat="1" x14ac:dyDescent="0.2">
      <c r="A59" s="22"/>
      <c r="B59" s="20"/>
      <c r="C59" s="50"/>
      <c r="D59" s="50"/>
      <c r="E59" s="19"/>
      <c r="F59" s="19"/>
      <c r="G59" s="17"/>
      <c r="H59" s="17"/>
      <c r="I59" s="38"/>
      <c r="J59" s="18"/>
    </row>
    <row r="60" spans="1:12" s="65" customFormat="1" x14ac:dyDescent="0.2">
      <c r="A60" s="22"/>
      <c r="B60" s="20"/>
      <c r="C60" s="50"/>
      <c r="D60" s="50"/>
      <c r="E60" s="19"/>
      <c r="F60" s="19"/>
      <c r="G60" s="17"/>
      <c r="H60" s="17"/>
      <c r="I60" s="38"/>
      <c r="J60" s="18"/>
    </row>
    <row r="61" spans="1:12" s="65" customFormat="1" ht="15" x14ac:dyDescent="0.25">
      <c r="A61" s="22"/>
      <c r="B61" s="110" t="s">
        <v>48</v>
      </c>
      <c r="C61" s="110"/>
      <c r="D61" s="110"/>
      <c r="E61" s="110"/>
      <c r="F61" s="110"/>
      <c r="G61" s="110"/>
      <c r="H61" s="110"/>
      <c r="I61" s="110"/>
      <c r="J61" s="110"/>
    </row>
    <row r="62" spans="1:12" s="65" customFormat="1" x14ac:dyDescent="0.2">
      <c r="A62" s="22"/>
      <c r="B62" s="1"/>
      <c r="C62" s="1"/>
      <c r="D62" s="1"/>
      <c r="E62" s="1"/>
      <c r="F62" s="1"/>
      <c r="G62" s="1"/>
      <c r="H62" s="1"/>
      <c r="I62" s="1"/>
      <c r="J62" s="46"/>
    </row>
    <row r="63" spans="1:12" s="65" customFormat="1" ht="12.75" customHeight="1" x14ac:dyDescent="0.2">
      <c r="A63" s="22"/>
      <c r="B63" s="115" t="s">
        <v>38</v>
      </c>
      <c r="C63" s="115"/>
      <c r="D63" s="115"/>
      <c r="E63" s="115"/>
      <c r="F63" s="115"/>
      <c r="G63" s="115"/>
      <c r="H63" s="115"/>
      <c r="I63" s="115"/>
      <c r="J63" s="115"/>
    </row>
    <row r="64" spans="1:12" s="65" customFormat="1" ht="23.25" customHeight="1" x14ac:dyDescent="0.2">
      <c r="A64" s="22"/>
      <c r="B64" s="112" t="s">
        <v>39</v>
      </c>
      <c r="C64" s="112" t="s">
        <v>40</v>
      </c>
      <c r="D64" s="112" t="s">
        <v>41</v>
      </c>
      <c r="E64" s="112" t="s">
        <v>42</v>
      </c>
      <c r="F64" s="112" t="s">
        <v>43</v>
      </c>
      <c r="G64" s="112" t="s">
        <v>44</v>
      </c>
      <c r="H64" s="112" t="s">
        <v>45</v>
      </c>
      <c r="I64" s="112" t="s">
        <v>46</v>
      </c>
      <c r="J64" s="94" t="str">
        <f>J33</f>
        <v>Outstanding Amount</v>
      </c>
    </row>
    <row r="65" spans="1:15" s="65" customFormat="1" x14ac:dyDescent="0.2">
      <c r="A65" s="22"/>
      <c r="B65" s="113"/>
      <c r="C65" s="113"/>
      <c r="D65" s="113"/>
      <c r="E65" s="113"/>
      <c r="F65" s="113"/>
      <c r="G65" s="113"/>
      <c r="H65" s="113"/>
      <c r="I65" s="113"/>
      <c r="J65" s="95">
        <f>+J34</f>
        <v>45382</v>
      </c>
      <c r="L65" s="67"/>
    </row>
    <row r="66" spans="1:15" s="65" customFormat="1" x14ac:dyDescent="0.2">
      <c r="A66" s="22"/>
      <c r="B66" s="2"/>
      <c r="C66" s="2"/>
      <c r="D66" s="2"/>
      <c r="E66" s="2"/>
      <c r="F66" s="2"/>
      <c r="G66" s="2"/>
      <c r="H66" s="2"/>
      <c r="I66" s="2"/>
      <c r="J66" s="10"/>
    </row>
    <row r="67" spans="1:15" s="65" customFormat="1" ht="15.75" thickBot="1" x14ac:dyDescent="0.3">
      <c r="A67" s="22" t="s">
        <v>133</v>
      </c>
      <c r="B67" s="2"/>
      <c r="C67" s="2"/>
      <c r="D67" s="2"/>
      <c r="E67" s="13" t="s">
        <v>3</v>
      </c>
      <c r="F67" s="5"/>
      <c r="G67" s="14">
        <v>320000</v>
      </c>
      <c r="H67" s="14">
        <f>SUM(H68:H78)</f>
        <v>132361.90000000002</v>
      </c>
      <c r="I67" s="14">
        <f>SUM(I68:I78)</f>
        <v>0</v>
      </c>
      <c r="J67" s="14">
        <f>SUM(J68:J78)</f>
        <v>132361.90000000002</v>
      </c>
      <c r="K67" s="36"/>
      <c r="L67" s="36"/>
    </row>
    <row r="68" spans="1:15" s="65" customFormat="1" ht="13.5" thickTop="1" x14ac:dyDescent="0.2">
      <c r="A68" s="22"/>
      <c r="B68" s="68" t="s">
        <v>62</v>
      </c>
      <c r="C68" s="50">
        <v>45230</v>
      </c>
      <c r="D68" s="50">
        <v>47057</v>
      </c>
      <c r="E68" s="45" t="s">
        <v>150</v>
      </c>
      <c r="F68" s="69" t="s">
        <v>0</v>
      </c>
      <c r="G68" s="70"/>
      <c r="H68" s="71">
        <v>5000</v>
      </c>
      <c r="I68" s="41">
        <f>IF($J$34&gt;=D68,H68,0)</f>
        <v>0</v>
      </c>
      <c r="J68" s="69">
        <f>+H68-I68</f>
        <v>5000</v>
      </c>
      <c r="K68" s="36"/>
    </row>
    <row r="69" spans="1:15" s="61" customFormat="1" ht="14.25" customHeight="1" x14ac:dyDescent="0.2">
      <c r="A69" s="23" t="s">
        <v>4</v>
      </c>
      <c r="B69" s="68" t="s">
        <v>62</v>
      </c>
      <c r="C69" s="50">
        <v>45291</v>
      </c>
      <c r="D69" s="50">
        <v>47118</v>
      </c>
      <c r="E69" s="72" t="s">
        <v>101</v>
      </c>
      <c r="F69" s="73" t="s">
        <v>0</v>
      </c>
      <c r="G69" s="73"/>
      <c r="H69" s="71">
        <v>20000</v>
      </c>
      <c r="I69" s="74">
        <f t="shared" ref="I69:I78" si="4">IF($J$34&gt;=D69,H69,0)</f>
        <v>0</v>
      </c>
      <c r="J69" s="73">
        <f t="shared" ref="J69:J78" si="5">+H69-I69</f>
        <v>20000</v>
      </c>
      <c r="O69" s="65"/>
    </row>
    <row r="70" spans="1:15" s="61" customFormat="1" ht="14.25" customHeight="1" x14ac:dyDescent="0.2">
      <c r="A70" s="23" t="s">
        <v>6</v>
      </c>
      <c r="B70" s="68" t="s">
        <v>62</v>
      </c>
      <c r="C70" s="50">
        <v>45291</v>
      </c>
      <c r="D70" s="50">
        <v>47118</v>
      </c>
      <c r="E70" s="72" t="s">
        <v>101</v>
      </c>
      <c r="F70" s="73" t="s">
        <v>0</v>
      </c>
      <c r="G70" s="73"/>
      <c r="H70" s="71">
        <v>7079.3</v>
      </c>
      <c r="I70" s="40">
        <f t="shared" si="4"/>
        <v>0</v>
      </c>
      <c r="J70" s="73">
        <f t="shared" si="5"/>
        <v>7079.3</v>
      </c>
      <c r="O70" s="65"/>
    </row>
    <row r="71" spans="1:15" x14ac:dyDescent="0.2">
      <c r="B71" s="68" t="s">
        <v>64</v>
      </c>
      <c r="C71" s="50">
        <v>44561</v>
      </c>
      <c r="D71" s="50">
        <v>47118</v>
      </c>
      <c r="E71" s="52" t="s">
        <v>134</v>
      </c>
      <c r="F71" s="76" t="s">
        <v>0</v>
      </c>
      <c r="G71" s="75"/>
      <c r="H71" s="76">
        <v>10116</v>
      </c>
      <c r="I71" s="42">
        <f t="shared" si="4"/>
        <v>0</v>
      </c>
      <c r="J71" s="77">
        <f t="shared" si="5"/>
        <v>10116</v>
      </c>
      <c r="O71" s="65"/>
    </row>
    <row r="72" spans="1:15" s="65" customFormat="1" x14ac:dyDescent="0.2">
      <c r="A72" s="22"/>
      <c r="B72" s="68" t="s">
        <v>64</v>
      </c>
      <c r="C72" s="50">
        <v>44864</v>
      </c>
      <c r="D72" s="50">
        <v>47421</v>
      </c>
      <c r="E72" s="78" t="s">
        <v>144</v>
      </c>
      <c r="F72" s="77" t="s">
        <v>0</v>
      </c>
      <c r="G72" s="55"/>
      <c r="H72" s="79">
        <v>3826.7</v>
      </c>
      <c r="I72" s="42">
        <f t="shared" si="4"/>
        <v>0</v>
      </c>
      <c r="J72" s="77">
        <f t="shared" si="5"/>
        <v>3826.7</v>
      </c>
    </row>
    <row r="73" spans="1:15" s="65" customFormat="1" x14ac:dyDescent="0.2">
      <c r="A73" s="22"/>
      <c r="B73" s="68" t="s">
        <v>64</v>
      </c>
      <c r="C73" s="50">
        <v>44926</v>
      </c>
      <c r="D73" s="50">
        <v>47483</v>
      </c>
      <c r="E73" s="78" t="s">
        <v>144</v>
      </c>
      <c r="F73" s="77" t="s">
        <v>0</v>
      </c>
      <c r="G73" s="55"/>
      <c r="H73" s="59">
        <v>7079.3</v>
      </c>
      <c r="I73" s="42">
        <f t="shared" si="4"/>
        <v>0</v>
      </c>
      <c r="J73" s="77">
        <f t="shared" si="5"/>
        <v>7079.3</v>
      </c>
    </row>
    <row r="74" spans="1:15" s="61" customFormat="1" ht="14.25" customHeight="1" x14ac:dyDescent="0.2">
      <c r="A74" s="23" t="s">
        <v>5</v>
      </c>
      <c r="B74" s="68" t="s">
        <v>61</v>
      </c>
      <c r="C74" s="50">
        <v>45199</v>
      </c>
      <c r="D74" s="50">
        <v>46295</v>
      </c>
      <c r="E74" s="45" t="s">
        <v>152</v>
      </c>
      <c r="F74" s="69" t="s">
        <v>0</v>
      </c>
      <c r="G74" s="70"/>
      <c r="H74" s="71">
        <v>4639.3</v>
      </c>
      <c r="I74" s="42">
        <f t="shared" si="4"/>
        <v>0</v>
      </c>
      <c r="J74" s="69">
        <f t="shared" si="5"/>
        <v>4639.3</v>
      </c>
      <c r="O74" s="65"/>
    </row>
    <row r="75" spans="1:15" s="61" customFormat="1" x14ac:dyDescent="0.2">
      <c r="A75" s="23" t="s">
        <v>8</v>
      </c>
      <c r="B75" s="68" t="s">
        <v>61</v>
      </c>
      <c r="C75" s="50">
        <v>45230</v>
      </c>
      <c r="D75" s="50">
        <v>46326</v>
      </c>
      <c r="E75" s="52" t="s">
        <v>151</v>
      </c>
      <c r="F75" s="76" t="s">
        <v>0</v>
      </c>
      <c r="G75" s="76"/>
      <c r="H75" s="79">
        <v>5000</v>
      </c>
      <c r="I75" s="44">
        <f t="shared" si="4"/>
        <v>0</v>
      </c>
      <c r="J75" s="76">
        <f t="shared" si="5"/>
        <v>5000</v>
      </c>
      <c r="O75" s="65"/>
    </row>
    <row r="76" spans="1:15" s="61" customFormat="1" ht="20.25" customHeight="1" x14ac:dyDescent="0.2">
      <c r="A76" s="23" t="s">
        <v>7</v>
      </c>
      <c r="B76" s="68" t="s">
        <v>61</v>
      </c>
      <c r="C76" s="50">
        <v>44810</v>
      </c>
      <c r="D76" s="50">
        <v>45906</v>
      </c>
      <c r="E76" s="52" t="s">
        <v>143</v>
      </c>
      <c r="F76" s="76" t="s">
        <v>0</v>
      </c>
      <c r="G76" s="76"/>
      <c r="H76" s="59">
        <v>39621.300000000003</v>
      </c>
      <c r="I76" s="44">
        <v>0</v>
      </c>
      <c r="J76" s="76">
        <f>+H76-I76</f>
        <v>39621.300000000003</v>
      </c>
      <c r="O76" s="65"/>
    </row>
    <row r="77" spans="1:15" s="65" customFormat="1" ht="12.75" customHeight="1" x14ac:dyDescent="0.2">
      <c r="A77" s="22"/>
      <c r="B77" s="68" t="s">
        <v>61</v>
      </c>
      <c r="C77" s="50">
        <v>44894</v>
      </c>
      <c r="D77" s="50">
        <v>45990</v>
      </c>
      <c r="E77" s="45" t="s">
        <v>145</v>
      </c>
      <c r="F77" s="69" t="s">
        <v>0</v>
      </c>
      <c r="G77" s="69"/>
      <c r="H77" s="71">
        <v>10000</v>
      </c>
      <c r="I77" s="80">
        <f t="shared" si="4"/>
        <v>0</v>
      </c>
      <c r="J77" s="69">
        <f t="shared" si="5"/>
        <v>10000</v>
      </c>
    </row>
    <row r="78" spans="1:15" s="65" customFormat="1" x14ac:dyDescent="0.2">
      <c r="A78" s="22"/>
      <c r="B78" s="68" t="s">
        <v>61</v>
      </c>
      <c r="C78" s="50">
        <v>44926</v>
      </c>
      <c r="D78" s="50">
        <v>46022</v>
      </c>
      <c r="E78" s="81" t="s">
        <v>145</v>
      </c>
      <c r="F78" s="82" t="s">
        <v>0</v>
      </c>
      <c r="G78" s="82"/>
      <c r="H78" s="83">
        <v>20000</v>
      </c>
      <c r="I78" s="53">
        <f t="shared" si="4"/>
        <v>0</v>
      </c>
      <c r="J78" s="82">
        <f t="shared" si="5"/>
        <v>20000</v>
      </c>
    </row>
    <row r="79" spans="1:15" s="65" customFormat="1" x14ac:dyDescent="0.2">
      <c r="A79" s="22"/>
      <c r="B79" s="68"/>
      <c r="C79" s="51"/>
      <c r="D79" s="51"/>
      <c r="E79" s="72"/>
      <c r="F79" s="73"/>
      <c r="G79" s="73"/>
      <c r="H79" s="71"/>
      <c r="I79" s="40"/>
      <c r="J79" s="73"/>
    </row>
    <row r="80" spans="1:15" s="65" customFormat="1" ht="12.75" customHeight="1" x14ac:dyDescent="0.2">
      <c r="A80" s="22"/>
      <c r="B80" s="84"/>
      <c r="C80" s="84"/>
      <c r="D80" s="84"/>
      <c r="E80" s="55"/>
      <c r="F80" s="55"/>
      <c r="G80" s="55"/>
      <c r="H80" s="55"/>
      <c r="I80" s="55"/>
      <c r="J80" s="47"/>
    </row>
    <row r="81" spans="1:10" s="65" customFormat="1" ht="15" x14ac:dyDescent="0.25">
      <c r="A81" s="22"/>
      <c r="B81" s="110" t="s">
        <v>49</v>
      </c>
      <c r="C81" s="110"/>
      <c r="D81" s="110"/>
      <c r="E81" s="110"/>
      <c r="F81" s="110"/>
      <c r="G81" s="110"/>
      <c r="H81" s="110"/>
      <c r="I81" s="110"/>
      <c r="J81" s="110"/>
    </row>
    <row r="82" spans="1:10" s="65" customFormat="1" x14ac:dyDescent="0.2">
      <c r="A82" s="22"/>
      <c r="B82" s="1"/>
      <c r="C82" s="1"/>
      <c r="D82" s="1"/>
      <c r="E82" s="1"/>
      <c r="F82" s="1"/>
      <c r="G82" s="1"/>
      <c r="H82" s="1"/>
      <c r="I82" s="1"/>
      <c r="J82" s="46"/>
    </row>
    <row r="83" spans="1:10" s="65" customFormat="1" ht="12.75" customHeight="1" x14ac:dyDescent="0.2">
      <c r="A83" s="22"/>
      <c r="B83" s="115" t="s">
        <v>38</v>
      </c>
      <c r="C83" s="115"/>
      <c r="D83" s="115"/>
      <c r="E83" s="115"/>
      <c r="F83" s="115"/>
      <c r="G83" s="115"/>
      <c r="H83" s="115"/>
      <c r="I83" s="115"/>
      <c r="J83" s="115"/>
    </row>
    <row r="84" spans="1:10" s="65" customFormat="1" ht="25.5" customHeight="1" x14ac:dyDescent="0.2">
      <c r="A84" s="22"/>
      <c r="B84" s="112" t="s">
        <v>39</v>
      </c>
      <c r="C84" s="112" t="s">
        <v>40</v>
      </c>
      <c r="D84" s="112" t="s">
        <v>41</v>
      </c>
      <c r="E84" s="112" t="s">
        <v>42</v>
      </c>
      <c r="F84" s="112" t="s">
        <v>43</v>
      </c>
      <c r="G84" s="112" t="s">
        <v>44</v>
      </c>
      <c r="H84" s="112" t="s">
        <v>45</v>
      </c>
      <c r="I84" s="112" t="s">
        <v>46</v>
      </c>
      <c r="J84" s="94" t="str">
        <f>J64</f>
        <v>Outstanding Amount</v>
      </c>
    </row>
    <row r="85" spans="1:10" s="61" customFormat="1" ht="14.25" customHeight="1" x14ac:dyDescent="0.2">
      <c r="A85" s="23"/>
      <c r="B85" s="113"/>
      <c r="C85" s="113"/>
      <c r="D85" s="113"/>
      <c r="E85" s="113"/>
      <c r="F85" s="113"/>
      <c r="G85" s="113"/>
      <c r="H85" s="113"/>
      <c r="I85" s="113"/>
      <c r="J85" s="95">
        <f>+J65</f>
        <v>45382</v>
      </c>
    </row>
    <row r="86" spans="1:10" s="61" customFormat="1" ht="14.25" customHeight="1" x14ac:dyDescent="0.2">
      <c r="A86" s="23"/>
      <c r="B86" s="2"/>
      <c r="C86" s="2"/>
      <c r="D86" s="2"/>
      <c r="E86" s="2"/>
      <c r="F86" s="2"/>
      <c r="G86" s="2"/>
      <c r="H86" s="2"/>
      <c r="I86" s="2"/>
      <c r="J86" s="10"/>
    </row>
    <row r="87" spans="1:10" s="61" customFormat="1" ht="14.25" customHeight="1" thickBot="1" x14ac:dyDescent="0.3">
      <c r="A87" s="23" t="s">
        <v>133</v>
      </c>
      <c r="B87" s="2"/>
      <c r="C87" s="2"/>
      <c r="D87" s="2"/>
      <c r="E87" s="13" t="s">
        <v>3</v>
      </c>
      <c r="F87" s="5"/>
      <c r="G87" s="14">
        <v>32048</v>
      </c>
      <c r="H87" s="14">
        <f>SUM(H88:H117)</f>
        <v>25910</v>
      </c>
      <c r="I87" s="14">
        <f>SUM(I88:I117)</f>
        <v>25910</v>
      </c>
      <c r="J87" s="14">
        <f>SUM(J88:J117)</f>
        <v>0</v>
      </c>
    </row>
    <row r="88" spans="1:10" s="61" customFormat="1" ht="14.25" customHeight="1" thickTop="1" x14ac:dyDescent="0.2">
      <c r="A88" s="23"/>
      <c r="B88" s="20" t="s">
        <v>11</v>
      </c>
      <c r="C88" s="51">
        <v>40400</v>
      </c>
      <c r="D88" s="51">
        <v>41495</v>
      </c>
      <c r="E88" s="19" t="s">
        <v>66</v>
      </c>
      <c r="F88" s="17" t="s">
        <v>0</v>
      </c>
      <c r="G88" s="17"/>
      <c r="H88" s="30">
        <v>206</v>
      </c>
      <c r="I88" s="85">
        <f t="shared" ref="I88:I117" si="6">IF($J$34&gt;=D88,H88,0)</f>
        <v>206</v>
      </c>
      <c r="J88" s="21">
        <f t="shared" ref="J88:J94" si="7">+H88-I88</f>
        <v>0</v>
      </c>
    </row>
    <row r="89" spans="1:10" s="61" customFormat="1" ht="14.25" customHeight="1" x14ac:dyDescent="0.2">
      <c r="A89" s="23"/>
      <c r="B89" s="20" t="s">
        <v>11</v>
      </c>
      <c r="C89" s="51">
        <v>40428</v>
      </c>
      <c r="D89" s="51">
        <v>41495</v>
      </c>
      <c r="E89" s="19" t="s">
        <v>66</v>
      </c>
      <c r="F89" s="17" t="s">
        <v>0</v>
      </c>
      <c r="G89" s="17"/>
      <c r="H89" s="30">
        <v>350</v>
      </c>
      <c r="I89" s="85">
        <f t="shared" si="6"/>
        <v>350</v>
      </c>
      <c r="J89" s="21">
        <f t="shared" si="7"/>
        <v>0</v>
      </c>
    </row>
    <row r="90" spans="1:10" s="61" customFormat="1" ht="14.25" customHeight="1" x14ac:dyDescent="0.2">
      <c r="A90" s="23"/>
      <c r="B90" s="20" t="s">
        <v>11</v>
      </c>
      <c r="C90" s="51">
        <v>40456</v>
      </c>
      <c r="D90" s="51">
        <v>41495</v>
      </c>
      <c r="E90" s="19" t="s">
        <v>66</v>
      </c>
      <c r="F90" s="17" t="s">
        <v>0</v>
      </c>
      <c r="G90" s="17"/>
      <c r="H90" s="30">
        <v>270</v>
      </c>
      <c r="I90" s="85">
        <f t="shared" si="6"/>
        <v>270</v>
      </c>
      <c r="J90" s="21">
        <f t="shared" si="7"/>
        <v>0</v>
      </c>
    </row>
    <row r="91" spans="1:10" s="61" customFormat="1" ht="14.25" customHeight="1" x14ac:dyDescent="0.2">
      <c r="A91" s="23"/>
      <c r="B91" s="20" t="s">
        <v>11</v>
      </c>
      <c r="C91" s="51">
        <v>40484</v>
      </c>
      <c r="D91" s="51">
        <v>41495</v>
      </c>
      <c r="E91" s="19" t="s">
        <v>66</v>
      </c>
      <c r="F91" s="17" t="s">
        <v>0</v>
      </c>
      <c r="G91" s="17"/>
      <c r="H91" s="30">
        <v>885</v>
      </c>
      <c r="I91" s="85">
        <f t="shared" si="6"/>
        <v>885</v>
      </c>
      <c r="J91" s="21">
        <f t="shared" si="7"/>
        <v>0</v>
      </c>
    </row>
    <row r="92" spans="1:10" s="61" customFormat="1" ht="14.25" customHeight="1" x14ac:dyDescent="0.2">
      <c r="A92" s="23"/>
      <c r="B92" s="20" t="s">
        <v>11</v>
      </c>
      <c r="C92" s="51">
        <v>40519</v>
      </c>
      <c r="D92" s="51">
        <v>41495</v>
      </c>
      <c r="E92" s="19" t="s">
        <v>66</v>
      </c>
      <c r="F92" s="17" t="s">
        <v>0</v>
      </c>
      <c r="G92" s="17"/>
      <c r="H92" s="30">
        <v>1249</v>
      </c>
      <c r="I92" s="85">
        <f t="shared" si="6"/>
        <v>1249</v>
      </c>
      <c r="J92" s="21">
        <f t="shared" si="7"/>
        <v>0</v>
      </c>
    </row>
    <row r="93" spans="1:10" s="61" customFormat="1" ht="14.25" customHeight="1" x14ac:dyDescent="0.2">
      <c r="A93" s="23"/>
      <c r="B93" s="20" t="s">
        <v>9</v>
      </c>
      <c r="C93" s="51">
        <v>40218</v>
      </c>
      <c r="D93" s="51">
        <v>42041</v>
      </c>
      <c r="E93" s="19" t="s">
        <v>65</v>
      </c>
      <c r="F93" s="17" t="s">
        <v>0</v>
      </c>
      <c r="G93" s="17"/>
      <c r="H93" s="30">
        <v>118.8</v>
      </c>
      <c r="I93" s="30">
        <f t="shared" si="6"/>
        <v>118.8</v>
      </c>
      <c r="J93" s="21">
        <f t="shared" si="7"/>
        <v>0</v>
      </c>
    </row>
    <row r="94" spans="1:10" s="61" customFormat="1" ht="14.25" customHeight="1" x14ac:dyDescent="0.2">
      <c r="A94" s="23"/>
      <c r="B94" s="20" t="s">
        <v>9</v>
      </c>
      <c r="C94" s="51">
        <v>40239</v>
      </c>
      <c r="D94" s="51">
        <v>42041</v>
      </c>
      <c r="E94" s="19" t="s">
        <v>65</v>
      </c>
      <c r="F94" s="17" t="s">
        <v>0</v>
      </c>
      <c r="G94" s="17"/>
      <c r="H94" s="30">
        <v>2552.8000000000002</v>
      </c>
      <c r="I94" s="30">
        <f t="shared" si="6"/>
        <v>2552.8000000000002</v>
      </c>
      <c r="J94" s="21">
        <f t="shared" si="7"/>
        <v>0</v>
      </c>
    </row>
    <row r="95" spans="1:10" s="61" customFormat="1" ht="14.25" customHeight="1" x14ac:dyDescent="0.2">
      <c r="A95" s="23"/>
      <c r="B95" s="20" t="s">
        <v>9</v>
      </c>
      <c r="C95" s="51">
        <v>40274</v>
      </c>
      <c r="D95" s="51">
        <v>42041</v>
      </c>
      <c r="E95" s="19" t="s">
        <v>65</v>
      </c>
      <c r="F95" s="17" t="s">
        <v>0</v>
      </c>
      <c r="G95" s="17"/>
      <c r="H95" s="30">
        <v>610</v>
      </c>
      <c r="I95" s="30">
        <f t="shared" si="6"/>
        <v>610</v>
      </c>
      <c r="J95" s="21">
        <f t="shared" ref="J95:J114" si="8">+H95-I95</f>
        <v>0</v>
      </c>
    </row>
    <row r="96" spans="1:10" s="61" customFormat="1" ht="14.25" customHeight="1" x14ac:dyDescent="0.2">
      <c r="A96" s="23"/>
      <c r="B96" s="20" t="s">
        <v>9</v>
      </c>
      <c r="C96" s="51">
        <v>40302</v>
      </c>
      <c r="D96" s="51">
        <v>42041</v>
      </c>
      <c r="E96" s="19" t="s">
        <v>65</v>
      </c>
      <c r="F96" s="17" t="s">
        <v>0</v>
      </c>
      <c r="G96" s="17"/>
      <c r="H96" s="30">
        <v>250</v>
      </c>
      <c r="I96" s="30">
        <f t="shared" si="6"/>
        <v>250</v>
      </c>
      <c r="J96" s="21">
        <f t="shared" si="8"/>
        <v>0</v>
      </c>
    </row>
    <row r="97" spans="1:10" s="61" customFormat="1" ht="14.25" customHeight="1" x14ac:dyDescent="0.2">
      <c r="A97" s="23"/>
      <c r="B97" s="20" t="s">
        <v>9</v>
      </c>
      <c r="C97" s="51">
        <v>40330</v>
      </c>
      <c r="D97" s="51">
        <v>42041</v>
      </c>
      <c r="E97" s="19" t="s">
        <v>65</v>
      </c>
      <c r="F97" s="17" t="s">
        <v>0</v>
      </c>
      <c r="G97" s="17"/>
      <c r="H97" s="30">
        <v>250</v>
      </c>
      <c r="I97" s="30">
        <f t="shared" si="6"/>
        <v>250</v>
      </c>
      <c r="J97" s="21">
        <f t="shared" si="8"/>
        <v>0</v>
      </c>
    </row>
    <row r="98" spans="1:10" s="61" customFormat="1" ht="14.25" customHeight="1" x14ac:dyDescent="0.2">
      <c r="A98" s="23"/>
      <c r="B98" s="20" t="s">
        <v>9</v>
      </c>
      <c r="C98" s="51">
        <v>40365</v>
      </c>
      <c r="D98" s="51">
        <v>42041</v>
      </c>
      <c r="E98" s="19" t="s">
        <v>65</v>
      </c>
      <c r="F98" s="17" t="s">
        <v>0</v>
      </c>
      <c r="G98" s="17"/>
      <c r="H98" s="30">
        <v>218.4</v>
      </c>
      <c r="I98" s="30">
        <f t="shared" si="6"/>
        <v>218.4</v>
      </c>
      <c r="J98" s="21">
        <f t="shared" si="8"/>
        <v>0</v>
      </c>
    </row>
    <row r="99" spans="1:10" s="61" customFormat="1" ht="14.25" customHeight="1" x14ac:dyDescent="0.2">
      <c r="A99" s="23"/>
      <c r="B99" s="20" t="s">
        <v>12</v>
      </c>
      <c r="C99" s="51">
        <v>40400</v>
      </c>
      <c r="D99" s="51">
        <v>42223</v>
      </c>
      <c r="E99" s="19" t="s">
        <v>63</v>
      </c>
      <c r="F99" s="17" t="s">
        <v>0</v>
      </c>
      <c r="G99" s="17"/>
      <c r="H99" s="30">
        <v>881</v>
      </c>
      <c r="I99" s="86">
        <f t="shared" si="6"/>
        <v>881</v>
      </c>
      <c r="J99" s="21">
        <f t="shared" si="8"/>
        <v>0</v>
      </c>
    </row>
    <row r="100" spans="1:10" s="61" customFormat="1" ht="14.25" customHeight="1" x14ac:dyDescent="0.2">
      <c r="A100" s="23"/>
      <c r="B100" s="20" t="s">
        <v>12</v>
      </c>
      <c r="C100" s="51">
        <v>40428</v>
      </c>
      <c r="D100" s="51">
        <v>42223</v>
      </c>
      <c r="E100" s="19" t="s">
        <v>63</v>
      </c>
      <c r="F100" s="17" t="s">
        <v>0</v>
      </c>
      <c r="G100" s="17"/>
      <c r="H100" s="30">
        <v>235</v>
      </c>
      <c r="I100" s="86">
        <f t="shared" si="6"/>
        <v>235</v>
      </c>
      <c r="J100" s="21">
        <f t="shared" si="8"/>
        <v>0</v>
      </c>
    </row>
    <row r="101" spans="1:10" s="61" customFormat="1" ht="14.25" customHeight="1" x14ac:dyDescent="0.2">
      <c r="A101" s="23"/>
      <c r="B101" s="20" t="s">
        <v>12</v>
      </c>
      <c r="C101" s="51">
        <v>40456</v>
      </c>
      <c r="D101" s="51">
        <v>42223</v>
      </c>
      <c r="E101" s="19" t="s">
        <v>63</v>
      </c>
      <c r="F101" s="17" t="s">
        <v>0</v>
      </c>
      <c r="G101" s="17"/>
      <c r="H101" s="30">
        <v>300</v>
      </c>
      <c r="I101" s="86">
        <f t="shared" si="6"/>
        <v>300</v>
      </c>
      <c r="J101" s="21">
        <f>+H101-I101</f>
        <v>0</v>
      </c>
    </row>
    <row r="102" spans="1:10" s="61" customFormat="1" ht="14.25" customHeight="1" x14ac:dyDescent="0.2">
      <c r="A102" s="23"/>
      <c r="B102" s="20" t="s">
        <v>12</v>
      </c>
      <c r="C102" s="51">
        <v>40484</v>
      </c>
      <c r="D102" s="51">
        <v>42223</v>
      </c>
      <c r="E102" s="19" t="s">
        <v>63</v>
      </c>
      <c r="F102" s="17" t="s">
        <v>0</v>
      </c>
      <c r="G102" s="17"/>
      <c r="H102" s="30">
        <v>2</v>
      </c>
      <c r="I102" s="86">
        <f t="shared" si="6"/>
        <v>2</v>
      </c>
      <c r="J102" s="21">
        <f>+H102-I102</f>
        <v>0</v>
      </c>
    </row>
    <row r="103" spans="1:10" s="61" customFormat="1" ht="14.25" customHeight="1" x14ac:dyDescent="0.2">
      <c r="A103" s="23"/>
      <c r="B103" s="20" t="s">
        <v>10</v>
      </c>
      <c r="C103" s="51">
        <v>40218</v>
      </c>
      <c r="D103" s="51">
        <v>42776</v>
      </c>
      <c r="E103" s="19" t="s">
        <v>67</v>
      </c>
      <c r="F103" s="17" t="s">
        <v>0</v>
      </c>
      <c r="G103" s="17"/>
      <c r="H103" s="30">
        <v>197.2</v>
      </c>
      <c r="I103" s="86">
        <f t="shared" si="6"/>
        <v>197.2</v>
      </c>
      <c r="J103" s="21">
        <f t="shared" si="8"/>
        <v>0</v>
      </c>
    </row>
    <row r="104" spans="1:10" s="61" customFormat="1" ht="14.25" customHeight="1" x14ac:dyDescent="0.2">
      <c r="A104" s="23"/>
      <c r="B104" s="20" t="s">
        <v>10</v>
      </c>
      <c r="C104" s="51">
        <v>40239</v>
      </c>
      <c r="D104" s="51">
        <v>42776</v>
      </c>
      <c r="E104" s="19" t="s">
        <v>67</v>
      </c>
      <c r="F104" s="17" t="s">
        <v>0</v>
      </c>
      <c r="G104" s="17"/>
      <c r="H104" s="30">
        <v>3650</v>
      </c>
      <c r="I104" s="86">
        <f t="shared" si="6"/>
        <v>3650</v>
      </c>
      <c r="J104" s="21">
        <f t="shared" si="8"/>
        <v>0</v>
      </c>
    </row>
    <row r="105" spans="1:10" s="61" customFormat="1" ht="14.25" customHeight="1" x14ac:dyDescent="0.2">
      <c r="A105" s="23"/>
      <c r="B105" s="20" t="s">
        <v>10</v>
      </c>
      <c r="C105" s="51">
        <v>40274</v>
      </c>
      <c r="D105" s="51">
        <v>42776</v>
      </c>
      <c r="E105" s="19" t="s">
        <v>67</v>
      </c>
      <c r="F105" s="17" t="s">
        <v>0</v>
      </c>
      <c r="G105" s="17"/>
      <c r="H105" s="30">
        <v>52.8</v>
      </c>
      <c r="I105" s="86">
        <f t="shared" si="6"/>
        <v>52.8</v>
      </c>
      <c r="J105" s="21">
        <f t="shared" si="8"/>
        <v>0</v>
      </c>
    </row>
    <row r="106" spans="1:10" s="61" customFormat="1" ht="14.25" customHeight="1" x14ac:dyDescent="0.2">
      <c r="A106" s="23"/>
      <c r="B106" s="20" t="s">
        <v>10</v>
      </c>
      <c r="C106" s="51">
        <v>40302</v>
      </c>
      <c r="D106" s="51">
        <v>42776</v>
      </c>
      <c r="E106" s="19" t="s">
        <v>67</v>
      </c>
      <c r="F106" s="17" t="s">
        <v>0</v>
      </c>
      <c r="G106" s="17"/>
      <c r="H106" s="30">
        <v>50</v>
      </c>
      <c r="I106" s="86">
        <f t="shared" si="6"/>
        <v>50</v>
      </c>
      <c r="J106" s="21">
        <f t="shared" si="8"/>
        <v>0</v>
      </c>
    </row>
    <row r="107" spans="1:10" s="61" customFormat="1" ht="14.25" customHeight="1" x14ac:dyDescent="0.2">
      <c r="A107" s="23"/>
      <c r="B107" s="20" t="s">
        <v>10</v>
      </c>
      <c r="C107" s="51">
        <v>40330</v>
      </c>
      <c r="D107" s="51">
        <v>42776</v>
      </c>
      <c r="E107" s="19" t="s">
        <v>67</v>
      </c>
      <c r="F107" s="17" t="s">
        <v>0</v>
      </c>
      <c r="G107" s="17"/>
      <c r="H107" s="30">
        <v>50</v>
      </c>
      <c r="I107" s="86">
        <f t="shared" si="6"/>
        <v>50</v>
      </c>
      <c r="J107" s="21">
        <f t="shared" si="8"/>
        <v>0</v>
      </c>
    </row>
    <row r="108" spans="1:10" s="61" customFormat="1" ht="14.25" customHeight="1" x14ac:dyDescent="0.2">
      <c r="A108" s="23"/>
      <c r="B108" s="20" t="s">
        <v>13</v>
      </c>
      <c r="C108" s="51">
        <v>40400</v>
      </c>
      <c r="D108" s="51">
        <v>42951</v>
      </c>
      <c r="E108" s="19" t="s">
        <v>68</v>
      </c>
      <c r="F108" s="17" t="s">
        <v>0</v>
      </c>
      <c r="G108" s="17"/>
      <c r="H108" s="30">
        <v>250</v>
      </c>
      <c r="I108" s="86">
        <f t="shared" si="6"/>
        <v>250</v>
      </c>
      <c r="J108" s="21">
        <f t="shared" si="8"/>
        <v>0</v>
      </c>
    </row>
    <row r="109" spans="1:10" s="61" customFormat="1" ht="14.25" customHeight="1" x14ac:dyDescent="0.2">
      <c r="A109" s="23"/>
      <c r="B109" s="20" t="s">
        <v>13</v>
      </c>
      <c r="C109" s="51">
        <v>40428</v>
      </c>
      <c r="D109" s="51">
        <v>42951</v>
      </c>
      <c r="E109" s="19" t="s">
        <v>68</v>
      </c>
      <c r="F109" s="17" t="s">
        <v>0</v>
      </c>
      <c r="G109" s="17"/>
      <c r="H109" s="30">
        <v>500</v>
      </c>
      <c r="I109" s="86">
        <f t="shared" si="6"/>
        <v>500</v>
      </c>
      <c r="J109" s="21">
        <f t="shared" si="8"/>
        <v>0</v>
      </c>
    </row>
    <row r="110" spans="1:10" s="61" customFormat="1" ht="14.25" customHeight="1" x14ac:dyDescent="0.2">
      <c r="A110" s="23"/>
      <c r="B110" s="20" t="s">
        <v>13</v>
      </c>
      <c r="C110" s="51">
        <v>40456</v>
      </c>
      <c r="D110" s="51">
        <v>42951</v>
      </c>
      <c r="E110" s="19" t="s">
        <v>68</v>
      </c>
      <c r="F110" s="17" t="s">
        <v>0</v>
      </c>
      <c r="G110" s="17"/>
      <c r="H110" s="30">
        <v>180</v>
      </c>
      <c r="I110" s="86">
        <f t="shared" si="6"/>
        <v>180</v>
      </c>
      <c r="J110" s="21">
        <f>+H110-I110</f>
        <v>0</v>
      </c>
    </row>
    <row r="111" spans="1:10" s="61" customFormat="1" ht="14.25" customHeight="1" x14ac:dyDescent="0.2">
      <c r="A111" s="23"/>
      <c r="B111" s="20" t="s">
        <v>13</v>
      </c>
      <c r="C111" s="51">
        <v>40484</v>
      </c>
      <c r="D111" s="51">
        <v>42951</v>
      </c>
      <c r="E111" s="19" t="s">
        <v>68</v>
      </c>
      <c r="F111" s="17" t="s">
        <v>0</v>
      </c>
      <c r="G111" s="17"/>
      <c r="H111" s="30">
        <v>1004</v>
      </c>
      <c r="I111" s="86">
        <f t="shared" si="6"/>
        <v>1004</v>
      </c>
      <c r="J111" s="21">
        <f>+H111-I111</f>
        <v>0</v>
      </c>
    </row>
    <row r="112" spans="1:10" s="61" customFormat="1" x14ac:dyDescent="0.2">
      <c r="A112" s="23"/>
      <c r="B112" s="20" t="s">
        <v>13</v>
      </c>
      <c r="C112" s="51">
        <v>40519</v>
      </c>
      <c r="D112" s="51">
        <v>42951</v>
      </c>
      <c r="E112" s="19" t="s">
        <v>68</v>
      </c>
      <c r="F112" s="17" t="s">
        <v>0</v>
      </c>
      <c r="G112" s="17"/>
      <c r="H112" s="30">
        <v>598</v>
      </c>
      <c r="I112" s="86">
        <f t="shared" si="6"/>
        <v>598</v>
      </c>
      <c r="J112" s="21">
        <f>+H112-I112</f>
        <v>0</v>
      </c>
    </row>
    <row r="113" spans="1:10" s="61" customFormat="1" x14ac:dyDescent="0.2">
      <c r="A113" s="23"/>
      <c r="B113" s="20" t="s">
        <v>14</v>
      </c>
      <c r="C113" s="51">
        <v>40400</v>
      </c>
      <c r="D113" s="51">
        <v>44022</v>
      </c>
      <c r="E113" s="19" t="s">
        <v>67</v>
      </c>
      <c r="F113" s="17" t="s">
        <v>0</v>
      </c>
      <c r="G113" s="17"/>
      <c r="H113" s="30">
        <v>2995</v>
      </c>
      <c r="I113" s="86">
        <f t="shared" si="6"/>
        <v>2995</v>
      </c>
      <c r="J113" s="21">
        <f>+H113-I113</f>
        <v>0</v>
      </c>
    </row>
    <row r="114" spans="1:10" s="61" customFormat="1" x14ac:dyDescent="0.2">
      <c r="A114" s="23"/>
      <c r="B114" s="20" t="s">
        <v>14</v>
      </c>
      <c r="C114" s="51">
        <v>40428</v>
      </c>
      <c r="D114" s="51">
        <v>44022</v>
      </c>
      <c r="E114" s="19" t="s">
        <v>67</v>
      </c>
      <c r="F114" s="17" t="s">
        <v>0</v>
      </c>
      <c r="G114" s="17"/>
      <c r="H114" s="30">
        <v>5000</v>
      </c>
      <c r="I114" s="86">
        <f t="shared" si="6"/>
        <v>5000</v>
      </c>
      <c r="J114" s="21">
        <f t="shared" si="8"/>
        <v>0</v>
      </c>
    </row>
    <row r="115" spans="1:10" x14ac:dyDescent="0.2">
      <c r="B115" s="20" t="s">
        <v>14</v>
      </c>
      <c r="C115" s="51">
        <v>40456</v>
      </c>
      <c r="D115" s="51">
        <v>44022</v>
      </c>
      <c r="E115" s="19" t="s">
        <v>67</v>
      </c>
      <c r="F115" s="17" t="s">
        <v>0</v>
      </c>
      <c r="G115" s="17"/>
      <c r="H115" s="30">
        <v>510</v>
      </c>
      <c r="I115" s="86">
        <f t="shared" si="6"/>
        <v>510</v>
      </c>
      <c r="J115" s="21">
        <f>+H115-I115</f>
        <v>0</v>
      </c>
    </row>
    <row r="116" spans="1:10" x14ac:dyDescent="0.2">
      <c r="B116" s="20" t="s">
        <v>14</v>
      </c>
      <c r="C116" s="51">
        <v>40484</v>
      </c>
      <c r="D116" s="51">
        <v>44022</v>
      </c>
      <c r="E116" s="19" t="s">
        <v>67</v>
      </c>
      <c r="F116" s="17" t="s">
        <v>0</v>
      </c>
      <c r="G116" s="17"/>
      <c r="H116" s="30">
        <v>2315</v>
      </c>
      <c r="I116" s="86">
        <f t="shared" si="6"/>
        <v>2315</v>
      </c>
      <c r="J116" s="21">
        <f>+H116-I116</f>
        <v>0</v>
      </c>
    </row>
    <row r="117" spans="1:10" x14ac:dyDescent="0.2">
      <c r="B117" s="20" t="s">
        <v>14</v>
      </c>
      <c r="C117" s="51">
        <v>40519</v>
      </c>
      <c r="D117" s="51">
        <v>44022</v>
      </c>
      <c r="E117" s="19" t="s">
        <v>67</v>
      </c>
      <c r="F117" s="17" t="s">
        <v>0</v>
      </c>
      <c r="G117" s="17"/>
      <c r="H117" s="30">
        <v>180</v>
      </c>
      <c r="I117" s="86">
        <f t="shared" si="6"/>
        <v>180</v>
      </c>
      <c r="J117" s="21">
        <f>+H117-I117</f>
        <v>0</v>
      </c>
    </row>
    <row r="118" spans="1:10" ht="13.5" thickBot="1" x14ac:dyDescent="0.25">
      <c r="B118" s="63"/>
      <c r="C118" s="63"/>
      <c r="D118" s="63"/>
      <c r="E118" s="63"/>
      <c r="F118" s="63"/>
      <c r="G118" s="63"/>
      <c r="H118" s="63"/>
      <c r="I118" s="63"/>
      <c r="J118" s="63"/>
    </row>
    <row r="119" spans="1:10" s="65" customFormat="1" x14ac:dyDescent="0.2">
      <c r="A119" s="22"/>
      <c r="B119" s="84"/>
      <c r="C119" s="84"/>
      <c r="D119" s="84"/>
      <c r="E119" s="55"/>
      <c r="F119" s="55"/>
      <c r="G119" s="55"/>
      <c r="H119" s="55"/>
      <c r="I119" s="55"/>
      <c r="J119" s="47"/>
    </row>
    <row r="120" spans="1:10" s="65" customFormat="1" x14ac:dyDescent="0.2">
      <c r="A120" s="22"/>
      <c r="B120" s="84"/>
      <c r="C120" s="84"/>
      <c r="D120" s="84"/>
      <c r="E120" s="55"/>
      <c r="F120" s="55"/>
      <c r="G120" s="55"/>
      <c r="H120" s="55"/>
      <c r="I120" s="55"/>
      <c r="J120" s="47"/>
    </row>
    <row r="121" spans="1:10" s="65" customFormat="1" ht="12.75" customHeight="1" x14ac:dyDescent="0.2">
      <c r="A121" s="22"/>
      <c r="B121" s="84"/>
      <c r="C121" s="84"/>
      <c r="D121" s="84"/>
      <c r="E121" s="55"/>
      <c r="F121" s="55"/>
      <c r="G121" s="55"/>
      <c r="H121" s="55"/>
      <c r="I121" s="55"/>
      <c r="J121" s="47"/>
    </row>
    <row r="122" spans="1:10" s="65" customFormat="1" ht="15" x14ac:dyDescent="0.25">
      <c r="A122" s="22"/>
      <c r="B122" s="110" t="s">
        <v>50</v>
      </c>
      <c r="C122" s="110"/>
      <c r="D122" s="110"/>
      <c r="E122" s="110"/>
      <c r="F122" s="110"/>
      <c r="G122" s="110"/>
      <c r="H122" s="110"/>
      <c r="I122" s="110"/>
      <c r="J122" s="110"/>
    </row>
    <row r="123" spans="1:10" s="65" customFormat="1" x14ac:dyDescent="0.2">
      <c r="A123" s="22"/>
      <c r="B123" s="1"/>
      <c r="C123" s="1"/>
      <c r="D123" s="1"/>
      <c r="E123" s="1"/>
      <c r="F123" s="1"/>
      <c r="G123" s="1"/>
      <c r="H123" s="1"/>
      <c r="I123" s="1"/>
      <c r="J123" s="46"/>
    </row>
    <row r="124" spans="1:10" s="65" customFormat="1" ht="12.75" customHeight="1" x14ac:dyDescent="0.2">
      <c r="A124" s="22"/>
      <c r="B124" s="115" t="s">
        <v>38</v>
      </c>
      <c r="C124" s="115"/>
      <c r="D124" s="115"/>
      <c r="E124" s="115"/>
      <c r="F124" s="115"/>
      <c r="G124" s="115"/>
      <c r="H124" s="115"/>
      <c r="I124" s="115"/>
      <c r="J124" s="115"/>
    </row>
    <row r="125" spans="1:10" s="65" customFormat="1" ht="27" customHeight="1" x14ac:dyDescent="0.2">
      <c r="A125" s="22"/>
      <c r="B125" s="112" t="s">
        <v>39</v>
      </c>
      <c r="C125" s="112" t="s">
        <v>40</v>
      </c>
      <c r="D125" s="112" t="s">
        <v>41</v>
      </c>
      <c r="E125" s="112" t="s">
        <v>42</v>
      </c>
      <c r="F125" s="112" t="s">
        <v>43</v>
      </c>
      <c r="G125" s="112" t="s">
        <v>44</v>
      </c>
      <c r="H125" s="112" t="s">
        <v>45</v>
      </c>
      <c r="I125" s="112" t="s">
        <v>46</v>
      </c>
      <c r="J125" s="94" t="str">
        <f>J84</f>
        <v>Outstanding Amount</v>
      </c>
    </row>
    <row r="126" spans="1:10" s="61" customFormat="1" x14ac:dyDescent="0.2">
      <c r="A126" s="23"/>
      <c r="B126" s="113"/>
      <c r="C126" s="113"/>
      <c r="D126" s="113"/>
      <c r="E126" s="113"/>
      <c r="F126" s="113"/>
      <c r="G126" s="113"/>
      <c r="H126" s="113"/>
      <c r="I126" s="113"/>
      <c r="J126" s="95">
        <f>+J85</f>
        <v>45382</v>
      </c>
    </row>
    <row r="127" spans="1:10" x14ac:dyDescent="0.2">
      <c r="B127" s="2"/>
      <c r="C127" s="2"/>
      <c r="D127" s="2"/>
      <c r="E127" s="2"/>
      <c r="F127" s="2"/>
      <c r="G127" s="2"/>
      <c r="H127" s="2"/>
      <c r="I127" s="2"/>
      <c r="J127" s="10"/>
    </row>
    <row r="128" spans="1:10" ht="15.75" thickBot="1" x14ac:dyDescent="0.3">
      <c r="A128" s="22" t="s">
        <v>133</v>
      </c>
      <c r="B128" s="2"/>
      <c r="C128" s="2"/>
      <c r="D128" s="2"/>
      <c r="E128" s="13" t="s">
        <v>3</v>
      </c>
      <c r="F128" s="5"/>
      <c r="G128" s="14">
        <v>25200</v>
      </c>
      <c r="H128" s="14">
        <f>SUM(H129:H146)</f>
        <v>25200</v>
      </c>
      <c r="I128" s="33">
        <f>SUM(I129:I146)</f>
        <v>25200</v>
      </c>
      <c r="J128" s="14">
        <f>SUM(J129:J146)</f>
        <v>0</v>
      </c>
    </row>
    <row r="129" spans="1:10" ht="13.5" thickTop="1" x14ac:dyDescent="0.2">
      <c r="B129" s="20" t="s">
        <v>15</v>
      </c>
      <c r="C129" s="51">
        <v>40701</v>
      </c>
      <c r="D129" s="51">
        <v>41796</v>
      </c>
      <c r="E129" s="19" t="s">
        <v>69</v>
      </c>
      <c r="F129" s="17" t="s">
        <v>0</v>
      </c>
      <c r="G129" s="17"/>
      <c r="H129" s="30">
        <v>500</v>
      </c>
      <c r="I129" s="34">
        <f t="shared" ref="I129:I146" si="9">IF($J$34&gt;=D129,H129,0)</f>
        <v>500</v>
      </c>
      <c r="J129" s="21">
        <f t="shared" ref="J129:J146" si="10">H129-I129</f>
        <v>0</v>
      </c>
    </row>
    <row r="130" spans="1:10" x14ac:dyDescent="0.2">
      <c r="B130" s="20" t="s">
        <v>15</v>
      </c>
      <c r="C130" s="51">
        <v>40792</v>
      </c>
      <c r="D130" s="51">
        <v>41796</v>
      </c>
      <c r="E130" s="19" t="s">
        <v>69</v>
      </c>
      <c r="F130" s="17" t="s">
        <v>0</v>
      </c>
      <c r="G130" s="17"/>
      <c r="H130" s="30">
        <v>700</v>
      </c>
      <c r="I130" s="34">
        <f t="shared" si="9"/>
        <v>700</v>
      </c>
      <c r="J130" s="21">
        <f t="shared" si="10"/>
        <v>0</v>
      </c>
    </row>
    <row r="131" spans="1:10" s="61" customFormat="1" x14ac:dyDescent="0.2">
      <c r="A131" s="23"/>
      <c r="B131" s="20" t="s">
        <v>15</v>
      </c>
      <c r="C131" s="51">
        <v>40820</v>
      </c>
      <c r="D131" s="51">
        <v>41796</v>
      </c>
      <c r="E131" s="19" t="s">
        <v>69</v>
      </c>
      <c r="F131" s="17" t="s">
        <v>0</v>
      </c>
      <c r="G131" s="17"/>
      <c r="H131" s="30">
        <v>345</v>
      </c>
      <c r="I131" s="34">
        <f t="shared" si="9"/>
        <v>345</v>
      </c>
      <c r="J131" s="21">
        <f t="shared" si="10"/>
        <v>0</v>
      </c>
    </row>
    <row r="132" spans="1:10" s="11" customFormat="1" x14ac:dyDescent="0.2">
      <c r="A132" s="24"/>
      <c r="B132" s="20" t="s">
        <v>15</v>
      </c>
      <c r="C132" s="51">
        <v>40848</v>
      </c>
      <c r="D132" s="51">
        <v>41796</v>
      </c>
      <c r="E132" s="19" t="s">
        <v>69</v>
      </c>
      <c r="F132" s="17" t="s">
        <v>0</v>
      </c>
      <c r="G132" s="17"/>
      <c r="H132" s="30">
        <v>886</v>
      </c>
      <c r="I132" s="34">
        <f t="shared" si="9"/>
        <v>886</v>
      </c>
      <c r="J132" s="21">
        <f t="shared" si="10"/>
        <v>0</v>
      </c>
    </row>
    <row r="133" spans="1:10" x14ac:dyDescent="0.2">
      <c r="B133" s="20" t="s">
        <v>15</v>
      </c>
      <c r="C133" s="51">
        <v>40883</v>
      </c>
      <c r="D133" s="51">
        <v>41796</v>
      </c>
      <c r="E133" s="19" t="s">
        <v>69</v>
      </c>
      <c r="F133" s="17" t="s">
        <v>0</v>
      </c>
      <c r="G133" s="17"/>
      <c r="H133" s="30">
        <v>1769</v>
      </c>
      <c r="I133" s="34">
        <f t="shared" si="9"/>
        <v>1769</v>
      </c>
      <c r="J133" s="21">
        <f t="shared" si="10"/>
        <v>0</v>
      </c>
    </row>
    <row r="134" spans="1:10" x14ac:dyDescent="0.2">
      <c r="B134" s="20" t="s">
        <v>16</v>
      </c>
      <c r="C134" s="51">
        <v>40701</v>
      </c>
      <c r="D134" s="51">
        <v>43259</v>
      </c>
      <c r="E134" s="19" t="s">
        <v>70</v>
      </c>
      <c r="F134" s="17" t="s">
        <v>0</v>
      </c>
      <c r="G134" s="17"/>
      <c r="H134" s="30">
        <v>1000</v>
      </c>
      <c r="I134" s="34">
        <f t="shared" si="9"/>
        <v>1000</v>
      </c>
      <c r="J134" s="21">
        <f t="shared" si="10"/>
        <v>0</v>
      </c>
    </row>
    <row r="135" spans="1:10" x14ac:dyDescent="0.2">
      <c r="B135" s="20" t="s">
        <v>16</v>
      </c>
      <c r="C135" s="51">
        <v>40760</v>
      </c>
      <c r="D135" s="51">
        <v>43259</v>
      </c>
      <c r="E135" s="19" t="s">
        <v>70</v>
      </c>
      <c r="F135" s="17" t="s">
        <v>0</v>
      </c>
      <c r="G135" s="17"/>
      <c r="H135" s="30">
        <v>10</v>
      </c>
      <c r="I135" s="34">
        <f t="shared" si="9"/>
        <v>10</v>
      </c>
      <c r="J135" s="21">
        <f t="shared" si="10"/>
        <v>0</v>
      </c>
    </row>
    <row r="136" spans="1:10" x14ac:dyDescent="0.2">
      <c r="B136" s="20" t="s">
        <v>16</v>
      </c>
      <c r="C136" s="51">
        <v>40795</v>
      </c>
      <c r="D136" s="51">
        <v>43259</v>
      </c>
      <c r="E136" s="19" t="s">
        <v>70</v>
      </c>
      <c r="F136" s="17" t="s">
        <v>0</v>
      </c>
      <c r="G136" s="17"/>
      <c r="H136" s="30">
        <v>1300</v>
      </c>
      <c r="I136" s="34">
        <f t="shared" si="9"/>
        <v>1300</v>
      </c>
      <c r="J136" s="21">
        <f t="shared" si="10"/>
        <v>0</v>
      </c>
    </row>
    <row r="137" spans="1:10" s="61" customFormat="1" x14ac:dyDescent="0.2">
      <c r="A137" s="23"/>
      <c r="B137" s="20" t="s">
        <v>16</v>
      </c>
      <c r="C137" s="51">
        <v>40820</v>
      </c>
      <c r="D137" s="51">
        <v>43259</v>
      </c>
      <c r="E137" s="19" t="s">
        <v>70</v>
      </c>
      <c r="F137" s="17" t="s">
        <v>0</v>
      </c>
      <c r="G137" s="17"/>
      <c r="H137" s="30">
        <v>550</v>
      </c>
      <c r="I137" s="34">
        <f t="shared" si="9"/>
        <v>550</v>
      </c>
      <c r="J137" s="21">
        <f t="shared" si="10"/>
        <v>0</v>
      </c>
    </row>
    <row r="138" spans="1:10" x14ac:dyDescent="0.2">
      <c r="B138" s="20" t="s">
        <v>16</v>
      </c>
      <c r="C138" s="51">
        <v>40848</v>
      </c>
      <c r="D138" s="51">
        <v>43259</v>
      </c>
      <c r="E138" s="19" t="s">
        <v>70</v>
      </c>
      <c r="F138" s="17" t="s">
        <v>0</v>
      </c>
      <c r="G138" s="17"/>
      <c r="H138" s="30">
        <v>1220</v>
      </c>
      <c r="I138" s="34">
        <f t="shared" si="9"/>
        <v>1220</v>
      </c>
      <c r="J138" s="21">
        <f t="shared" si="10"/>
        <v>0</v>
      </c>
    </row>
    <row r="139" spans="1:10" s="11" customFormat="1" x14ac:dyDescent="0.2">
      <c r="A139" s="24"/>
      <c r="B139" s="20" t="s">
        <v>16</v>
      </c>
      <c r="C139" s="51">
        <v>40883</v>
      </c>
      <c r="D139" s="51">
        <v>43259</v>
      </c>
      <c r="E139" s="19" t="s">
        <v>70</v>
      </c>
      <c r="F139" s="17" t="s">
        <v>0</v>
      </c>
      <c r="G139" s="55"/>
      <c r="H139" s="30">
        <v>3920</v>
      </c>
      <c r="I139" s="34">
        <f t="shared" si="9"/>
        <v>3920</v>
      </c>
      <c r="J139" s="21">
        <f t="shared" si="10"/>
        <v>0</v>
      </c>
    </row>
    <row r="140" spans="1:10" x14ac:dyDescent="0.2">
      <c r="B140" s="20" t="s">
        <v>17</v>
      </c>
      <c r="C140" s="51">
        <v>40701</v>
      </c>
      <c r="D140" s="51">
        <v>44351</v>
      </c>
      <c r="E140" s="19" t="s">
        <v>71</v>
      </c>
      <c r="F140" s="17" t="s">
        <v>0</v>
      </c>
      <c r="G140" s="17"/>
      <c r="H140" s="30">
        <v>2120</v>
      </c>
      <c r="I140" s="34">
        <f t="shared" si="9"/>
        <v>2120</v>
      </c>
      <c r="J140" s="21">
        <f t="shared" si="10"/>
        <v>0</v>
      </c>
    </row>
    <row r="141" spans="1:10" x14ac:dyDescent="0.2">
      <c r="B141" s="20" t="s">
        <v>17</v>
      </c>
      <c r="C141" s="51">
        <v>40732</v>
      </c>
      <c r="D141" s="51">
        <v>44351</v>
      </c>
      <c r="E141" s="19" t="s">
        <v>71</v>
      </c>
      <c r="F141" s="17" t="s">
        <v>0</v>
      </c>
      <c r="G141" s="17"/>
      <c r="H141" s="30">
        <v>2400</v>
      </c>
      <c r="I141" s="34">
        <f t="shared" si="9"/>
        <v>2400</v>
      </c>
      <c r="J141" s="21">
        <f t="shared" si="10"/>
        <v>0</v>
      </c>
    </row>
    <row r="142" spans="1:10" x14ac:dyDescent="0.2">
      <c r="B142" s="20" t="s">
        <v>17</v>
      </c>
      <c r="C142" s="51">
        <v>40760</v>
      </c>
      <c r="D142" s="51">
        <v>44351</v>
      </c>
      <c r="E142" s="19" t="s">
        <v>71</v>
      </c>
      <c r="F142" s="17" t="s">
        <v>0</v>
      </c>
      <c r="G142" s="17"/>
      <c r="H142" s="30">
        <v>1171.8</v>
      </c>
      <c r="I142" s="34">
        <f>IF($J$34&gt;=D142,H142,0)</f>
        <v>1171.8</v>
      </c>
      <c r="J142" s="21">
        <f t="shared" si="10"/>
        <v>0</v>
      </c>
    </row>
    <row r="143" spans="1:10" x14ac:dyDescent="0.2">
      <c r="B143" s="20" t="s">
        <v>17</v>
      </c>
      <c r="C143" s="51">
        <v>40795</v>
      </c>
      <c r="D143" s="51">
        <v>44351</v>
      </c>
      <c r="E143" s="19" t="s">
        <v>71</v>
      </c>
      <c r="F143" s="17" t="s">
        <v>0</v>
      </c>
      <c r="G143" s="17"/>
      <c r="H143" s="30">
        <v>3200</v>
      </c>
      <c r="I143" s="34">
        <f t="shared" si="9"/>
        <v>3200</v>
      </c>
      <c r="J143" s="21">
        <f t="shared" si="10"/>
        <v>0</v>
      </c>
    </row>
    <row r="144" spans="1:10" x14ac:dyDescent="0.2">
      <c r="B144" s="20" t="s">
        <v>17</v>
      </c>
      <c r="C144" s="51">
        <v>40820</v>
      </c>
      <c r="D144" s="51">
        <v>44351</v>
      </c>
      <c r="E144" s="19" t="s">
        <v>71</v>
      </c>
      <c r="F144" s="17" t="s">
        <v>0</v>
      </c>
      <c r="G144" s="17"/>
      <c r="H144" s="30">
        <v>1260</v>
      </c>
      <c r="I144" s="34">
        <f t="shared" si="9"/>
        <v>1260</v>
      </c>
      <c r="J144" s="21">
        <f t="shared" si="10"/>
        <v>0</v>
      </c>
    </row>
    <row r="145" spans="1:10" x14ac:dyDescent="0.2">
      <c r="B145" s="20" t="s">
        <v>17</v>
      </c>
      <c r="C145" s="51">
        <v>40848</v>
      </c>
      <c r="D145" s="51">
        <v>44351</v>
      </c>
      <c r="E145" s="19" t="s">
        <v>71</v>
      </c>
      <c r="F145" s="17" t="s">
        <v>0</v>
      </c>
      <c r="G145" s="17"/>
      <c r="H145" s="30">
        <v>1983</v>
      </c>
      <c r="I145" s="34">
        <f t="shared" si="9"/>
        <v>1983</v>
      </c>
      <c r="J145" s="21">
        <f t="shared" si="10"/>
        <v>0</v>
      </c>
    </row>
    <row r="146" spans="1:10" x14ac:dyDescent="0.2">
      <c r="B146" s="20" t="s">
        <v>17</v>
      </c>
      <c r="C146" s="51">
        <v>40883</v>
      </c>
      <c r="D146" s="51">
        <v>44351</v>
      </c>
      <c r="E146" s="19" t="s">
        <v>71</v>
      </c>
      <c r="F146" s="17" t="s">
        <v>0</v>
      </c>
      <c r="H146" s="30">
        <v>865.2</v>
      </c>
      <c r="I146" s="34">
        <f t="shared" si="9"/>
        <v>865.2</v>
      </c>
      <c r="J146" s="21">
        <f t="shared" si="10"/>
        <v>0</v>
      </c>
    </row>
    <row r="147" spans="1:10" ht="13.5" thickBot="1" x14ac:dyDescent="0.25">
      <c r="B147" s="63"/>
      <c r="C147" s="63"/>
      <c r="D147" s="63"/>
      <c r="E147" s="63"/>
      <c r="F147" s="63"/>
      <c r="G147" s="63"/>
      <c r="H147" s="63"/>
      <c r="I147" s="63"/>
      <c r="J147" s="63"/>
    </row>
    <row r="148" spans="1:10" s="65" customFormat="1" x14ac:dyDescent="0.2">
      <c r="A148" s="22"/>
      <c r="B148" s="84"/>
      <c r="C148" s="84"/>
      <c r="D148" s="84"/>
      <c r="E148" s="55"/>
      <c r="F148" s="55"/>
      <c r="G148" s="55"/>
      <c r="H148" s="55"/>
      <c r="I148" s="55"/>
      <c r="J148" s="47"/>
    </row>
    <row r="149" spans="1:10" s="65" customFormat="1" x14ac:dyDescent="0.2">
      <c r="A149" s="22"/>
      <c r="B149" s="84"/>
      <c r="C149" s="84"/>
      <c r="D149" s="84"/>
      <c r="E149" s="55"/>
      <c r="F149" s="55"/>
      <c r="G149" s="55"/>
      <c r="H149" s="55"/>
      <c r="I149" s="55"/>
      <c r="J149" s="47"/>
    </row>
    <row r="150" spans="1:10" s="65" customFormat="1" ht="12.75" customHeight="1" x14ac:dyDescent="0.2">
      <c r="A150" s="22"/>
      <c r="B150" s="84"/>
      <c r="C150" s="84"/>
      <c r="D150" s="84"/>
      <c r="E150" s="55"/>
      <c r="F150" s="55"/>
      <c r="G150" s="55"/>
      <c r="H150" s="55"/>
      <c r="I150" s="55"/>
      <c r="J150" s="47"/>
    </row>
    <row r="151" spans="1:10" s="65" customFormat="1" ht="15" x14ac:dyDescent="0.25">
      <c r="A151" s="22"/>
      <c r="B151" s="110" t="s">
        <v>51</v>
      </c>
      <c r="C151" s="110"/>
      <c r="D151" s="110"/>
      <c r="E151" s="110"/>
      <c r="F151" s="110"/>
      <c r="G151" s="110"/>
      <c r="H151" s="110"/>
      <c r="I151" s="110"/>
      <c r="J151" s="110"/>
    </row>
    <row r="152" spans="1:10" s="65" customFormat="1" x14ac:dyDescent="0.2">
      <c r="A152" s="22"/>
      <c r="B152" s="1"/>
      <c r="C152" s="1"/>
      <c r="D152" s="1"/>
      <c r="E152" s="1"/>
      <c r="F152" s="1"/>
      <c r="G152" s="1"/>
      <c r="H152" s="1"/>
      <c r="I152" s="1"/>
      <c r="J152" s="46"/>
    </row>
    <row r="153" spans="1:10" s="65" customFormat="1" ht="12.75" customHeight="1" x14ac:dyDescent="0.2">
      <c r="A153" s="22"/>
      <c r="B153" s="115" t="s">
        <v>38</v>
      </c>
      <c r="C153" s="115"/>
      <c r="D153" s="115"/>
      <c r="E153" s="115"/>
      <c r="F153" s="115"/>
      <c r="G153" s="115"/>
      <c r="H153" s="115"/>
      <c r="I153" s="115"/>
      <c r="J153" s="115"/>
    </row>
    <row r="154" spans="1:10" s="65" customFormat="1" ht="24.75" customHeight="1" x14ac:dyDescent="0.2">
      <c r="A154" s="22"/>
      <c r="B154" s="112" t="s">
        <v>39</v>
      </c>
      <c r="C154" s="112" t="s">
        <v>40</v>
      </c>
      <c r="D154" s="112" t="s">
        <v>41</v>
      </c>
      <c r="E154" s="112" t="s">
        <v>42</v>
      </c>
      <c r="F154" s="112" t="s">
        <v>43</v>
      </c>
      <c r="G154" s="112" t="s">
        <v>44</v>
      </c>
      <c r="H154" s="112" t="s">
        <v>45</v>
      </c>
      <c r="I154" s="112" t="s">
        <v>46</v>
      </c>
      <c r="J154" s="94" t="str">
        <f>J125</f>
        <v>Outstanding Amount</v>
      </c>
    </row>
    <row r="155" spans="1:10" s="61" customFormat="1" x14ac:dyDescent="0.2">
      <c r="A155" s="23"/>
      <c r="B155" s="113"/>
      <c r="C155" s="113"/>
      <c r="D155" s="113"/>
      <c r="E155" s="113"/>
      <c r="F155" s="113"/>
      <c r="G155" s="113"/>
      <c r="H155" s="113"/>
      <c r="I155" s="113"/>
      <c r="J155" s="95">
        <f>+J126</f>
        <v>45382</v>
      </c>
    </row>
    <row r="156" spans="1:10" s="61" customFormat="1" x14ac:dyDescent="0.2">
      <c r="A156" s="23"/>
      <c r="B156" s="2"/>
      <c r="C156" s="2"/>
      <c r="D156" s="2"/>
      <c r="E156" s="2"/>
      <c r="F156" s="2"/>
      <c r="G156" s="87"/>
      <c r="H156" s="2"/>
      <c r="I156" s="2"/>
      <c r="J156" s="10"/>
    </row>
    <row r="157" spans="1:10" s="61" customFormat="1" ht="15.75" thickBot="1" x14ac:dyDescent="0.3">
      <c r="A157" s="23" t="s">
        <v>133</v>
      </c>
      <c r="B157" s="2"/>
      <c r="C157" s="2"/>
      <c r="D157" s="2"/>
      <c r="E157" s="13" t="s">
        <v>3</v>
      </c>
      <c r="F157" s="5"/>
      <c r="G157" s="14">
        <v>18363.385917</v>
      </c>
      <c r="H157" s="14">
        <f>SUM(H158:H169)</f>
        <v>18000</v>
      </c>
      <c r="I157" s="31">
        <f>SUM(I158:I169)</f>
        <v>18000</v>
      </c>
      <c r="J157" s="14">
        <f>SUM(J158:J169)</f>
        <v>0</v>
      </c>
    </row>
    <row r="158" spans="1:10" s="61" customFormat="1" ht="13.5" thickTop="1" x14ac:dyDescent="0.2">
      <c r="A158" s="23"/>
      <c r="B158" s="20" t="s">
        <v>18</v>
      </c>
      <c r="C158" s="51">
        <v>40946</v>
      </c>
      <c r="D158" s="51">
        <v>44596</v>
      </c>
      <c r="E158" s="19" t="s">
        <v>72</v>
      </c>
      <c r="F158" s="17" t="s">
        <v>0</v>
      </c>
      <c r="G158" s="17"/>
      <c r="H158" s="30">
        <v>7715</v>
      </c>
      <c r="I158" s="34">
        <f>IF($J$155&gt;=D158,H158,(6927.3/2))</f>
        <v>7715</v>
      </c>
      <c r="J158" s="21">
        <f>H158-I158</f>
        <v>0</v>
      </c>
    </row>
    <row r="159" spans="1:10" s="61" customFormat="1" x14ac:dyDescent="0.2">
      <c r="A159" s="23"/>
      <c r="B159" s="20" t="s">
        <v>18</v>
      </c>
      <c r="C159" s="51">
        <v>40974</v>
      </c>
      <c r="D159" s="51">
        <v>44596</v>
      </c>
      <c r="E159" s="19" t="s">
        <v>72</v>
      </c>
      <c r="F159" s="17" t="s">
        <v>0</v>
      </c>
      <c r="G159" s="17"/>
      <c r="H159" s="30">
        <v>4285</v>
      </c>
      <c r="I159" s="34">
        <f t="shared" ref="I159" si="11">IF($J$155&gt;=D159,H159,(6927.3/2))</f>
        <v>4285</v>
      </c>
      <c r="J159" s="29">
        <f t="shared" ref="J159:J169" si="12">+H159-I159</f>
        <v>0</v>
      </c>
    </row>
    <row r="160" spans="1:10" s="61" customFormat="1" x14ac:dyDescent="0.2">
      <c r="A160" s="23"/>
      <c r="B160" s="20" t="s">
        <v>19</v>
      </c>
      <c r="C160" s="51">
        <v>41009</v>
      </c>
      <c r="D160" s="51">
        <v>43560</v>
      </c>
      <c r="E160" s="19" t="s">
        <v>73</v>
      </c>
      <c r="F160" s="17" t="s">
        <v>0</v>
      </c>
      <c r="G160" s="17"/>
      <c r="H160" s="30">
        <v>125</v>
      </c>
      <c r="I160" s="34">
        <f>IF($J$155&gt;=D160,H160,0)</f>
        <v>125</v>
      </c>
      <c r="J160" s="29">
        <f>+H160-I160</f>
        <v>0</v>
      </c>
    </row>
    <row r="161" spans="1:10" s="61" customFormat="1" x14ac:dyDescent="0.2">
      <c r="A161" s="23"/>
      <c r="B161" s="20" t="s">
        <v>19</v>
      </c>
      <c r="C161" s="51">
        <v>41030</v>
      </c>
      <c r="D161" s="51">
        <v>43560</v>
      </c>
      <c r="E161" s="19" t="s">
        <v>73</v>
      </c>
      <c r="F161" s="17" t="s">
        <v>0</v>
      </c>
      <c r="G161" s="17"/>
      <c r="H161" s="30">
        <v>40</v>
      </c>
      <c r="I161" s="34">
        <f t="shared" ref="I161:I169" si="13">IF($J$155&gt;=D161,H161,0)</f>
        <v>40</v>
      </c>
      <c r="J161" s="29">
        <f t="shared" si="12"/>
        <v>0</v>
      </c>
    </row>
    <row r="162" spans="1:10" s="61" customFormat="1" x14ac:dyDescent="0.2">
      <c r="A162" s="23"/>
      <c r="B162" s="20" t="s">
        <v>19</v>
      </c>
      <c r="C162" s="51">
        <v>41065</v>
      </c>
      <c r="D162" s="51">
        <v>43560</v>
      </c>
      <c r="E162" s="19" t="s">
        <v>73</v>
      </c>
      <c r="F162" s="17" t="s">
        <v>0</v>
      </c>
      <c r="G162" s="17"/>
      <c r="H162" s="30">
        <v>700</v>
      </c>
      <c r="I162" s="34">
        <f t="shared" si="13"/>
        <v>700</v>
      </c>
      <c r="J162" s="29">
        <f t="shared" si="12"/>
        <v>0</v>
      </c>
    </row>
    <row r="163" spans="1:10" x14ac:dyDescent="0.2">
      <c r="A163" s="32">
        <v>41065</v>
      </c>
      <c r="B163" s="20" t="s">
        <v>19</v>
      </c>
      <c r="C163" s="51">
        <v>41093</v>
      </c>
      <c r="D163" s="51">
        <v>43560</v>
      </c>
      <c r="E163" s="19" t="s">
        <v>73</v>
      </c>
      <c r="F163" s="17" t="s">
        <v>0</v>
      </c>
      <c r="G163" s="17"/>
      <c r="H163" s="30">
        <v>1000</v>
      </c>
      <c r="I163" s="34">
        <f t="shared" si="13"/>
        <v>1000</v>
      </c>
      <c r="J163" s="29">
        <f t="shared" si="12"/>
        <v>0</v>
      </c>
    </row>
    <row r="164" spans="1:10" x14ac:dyDescent="0.2">
      <c r="A164" s="32">
        <v>41065</v>
      </c>
      <c r="B164" s="20" t="s">
        <v>19</v>
      </c>
      <c r="C164" s="51">
        <v>41094</v>
      </c>
      <c r="D164" s="51">
        <v>43560</v>
      </c>
      <c r="E164" s="19" t="s">
        <v>73</v>
      </c>
      <c r="F164" s="17" t="s">
        <v>0</v>
      </c>
      <c r="G164" s="17"/>
      <c r="H164" s="30">
        <v>2000</v>
      </c>
      <c r="I164" s="34">
        <f t="shared" si="13"/>
        <v>2000</v>
      </c>
      <c r="J164" s="29">
        <f t="shared" si="12"/>
        <v>0</v>
      </c>
    </row>
    <row r="165" spans="1:10" x14ac:dyDescent="0.2">
      <c r="A165" s="32">
        <v>41065</v>
      </c>
      <c r="B165" s="20" t="s">
        <v>19</v>
      </c>
      <c r="C165" s="51">
        <v>41128</v>
      </c>
      <c r="D165" s="51">
        <v>43560</v>
      </c>
      <c r="E165" s="19" t="s">
        <v>73</v>
      </c>
      <c r="F165" s="17" t="s">
        <v>0</v>
      </c>
      <c r="G165" s="17"/>
      <c r="H165" s="30">
        <v>500</v>
      </c>
      <c r="I165" s="34">
        <f t="shared" si="13"/>
        <v>500</v>
      </c>
      <c r="J165" s="29">
        <f t="shared" si="12"/>
        <v>0</v>
      </c>
    </row>
    <row r="166" spans="1:10" x14ac:dyDescent="0.2">
      <c r="A166" s="32">
        <v>41065</v>
      </c>
      <c r="B166" s="20" t="s">
        <v>19</v>
      </c>
      <c r="C166" s="51">
        <v>41156</v>
      </c>
      <c r="D166" s="51">
        <v>43560</v>
      </c>
      <c r="E166" s="19" t="s">
        <v>73</v>
      </c>
      <c r="F166" s="17" t="s">
        <v>0</v>
      </c>
      <c r="G166" s="17"/>
      <c r="H166" s="30">
        <v>1000</v>
      </c>
      <c r="I166" s="34">
        <f t="shared" si="13"/>
        <v>1000</v>
      </c>
      <c r="J166" s="29">
        <f t="shared" si="12"/>
        <v>0</v>
      </c>
    </row>
    <row r="167" spans="1:10" x14ac:dyDescent="0.2">
      <c r="B167" s="20" t="s">
        <v>19</v>
      </c>
      <c r="C167" s="51">
        <v>41184</v>
      </c>
      <c r="D167" s="51">
        <v>43560</v>
      </c>
      <c r="E167" s="19" t="s">
        <v>73</v>
      </c>
      <c r="F167" s="17" t="s">
        <v>0</v>
      </c>
      <c r="G167" s="17"/>
      <c r="H167" s="30">
        <v>400</v>
      </c>
      <c r="I167" s="34">
        <f t="shared" si="13"/>
        <v>400</v>
      </c>
      <c r="J167" s="29">
        <f t="shared" si="12"/>
        <v>0</v>
      </c>
    </row>
    <row r="168" spans="1:10" x14ac:dyDescent="0.2">
      <c r="B168" s="20" t="s">
        <v>19</v>
      </c>
      <c r="C168" s="51">
        <v>41219</v>
      </c>
      <c r="D168" s="51">
        <v>43560</v>
      </c>
      <c r="E168" s="19" t="s">
        <v>73</v>
      </c>
      <c r="F168" s="17" t="s">
        <v>0</v>
      </c>
      <c r="G168" s="17"/>
      <c r="H168" s="30">
        <v>185</v>
      </c>
      <c r="I168" s="34">
        <f t="shared" si="13"/>
        <v>185</v>
      </c>
      <c r="J168" s="29">
        <f t="shared" si="12"/>
        <v>0</v>
      </c>
    </row>
    <row r="169" spans="1:10" x14ac:dyDescent="0.2">
      <c r="B169" s="20" t="s">
        <v>19</v>
      </c>
      <c r="C169" s="51">
        <v>41247</v>
      </c>
      <c r="D169" s="51">
        <v>43560</v>
      </c>
      <c r="E169" s="19" t="s">
        <v>73</v>
      </c>
      <c r="F169" s="17" t="s">
        <v>0</v>
      </c>
      <c r="G169" s="17"/>
      <c r="H169" s="30">
        <v>50</v>
      </c>
      <c r="I169" s="34">
        <f t="shared" si="13"/>
        <v>50</v>
      </c>
      <c r="J169" s="29">
        <f t="shared" si="12"/>
        <v>0</v>
      </c>
    </row>
    <row r="170" spans="1:10" ht="13.5" thickBot="1" x14ac:dyDescent="0.25">
      <c r="B170" s="63"/>
      <c r="C170" s="63"/>
      <c r="D170" s="63"/>
      <c r="E170" s="63"/>
      <c r="F170" s="63"/>
      <c r="G170" s="63"/>
      <c r="H170" s="63"/>
      <c r="I170" s="63"/>
      <c r="J170" s="63"/>
    </row>
    <row r="171" spans="1:10" s="65" customFormat="1" x14ac:dyDescent="0.2">
      <c r="A171" s="22"/>
      <c r="B171" s="75"/>
      <c r="C171" s="75"/>
      <c r="D171" s="75"/>
      <c r="E171" s="75"/>
      <c r="F171" s="75"/>
      <c r="G171" s="75"/>
      <c r="H171" s="75"/>
      <c r="I171" s="75"/>
      <c r="J171" s="75"/>
    </row>
    <row r="172" spans="1:10" s="65" customFormat="1" x14ac:dyDescent="0.2">
      <c r="A172" s="22"/>
      <c r="B172" s="75"/>
      <c r="C172" s="75"/>
      <c r="D172" s="75"/>
      <c r="E172" s="75"/>
      <c r="F172" s="75"/>
      <c r="G172" s="75"/>
      <c r="H172" s="75"/>
      <c r="I172" s="75"/>
      <c r="J172" s="75"/>
    </row>
    <row r="173" spans="1:10" s="65" customFormat="1" ht="12.75" customHeight="1" x14ac:dyDescent="0.2">
      <c r="A173" s="22"/>
      <c r="B173" s="84"/>
      <c r="C173" s="84"/>
      <c r="D173" s="84"/>
      <c r="E173" s="55"/>
      <c r="F173" s="55"/>
      <c r="G173" s="55"/>
      <c r="H173" s="55"/>
      <c r="I173" s="55"/>
      <c r="J173" s="47"/>
    </row>
    <row r="174" spans="1:10" s="65" customFormat="1" ht="15" x14ac:dyDescent="0.25">
      <c r="A174" s="22"/>
      <c r="B174" s="110" t="s">
        <v>52</v>
      </c>
      <c r="C174" s="110"/>
      <c r="D174" s="110"/>
      <c r="E174" s="110"/>
      <c r="F174" s="110"/>
      <c r="G174" s="110"/>
      <c r="H174" s="110"/>
      <c r="I174" s="110"/>
      <c r="J174" s="110"/>
    </row>
    <row r="175" spans="1:10" s="65" customFormat="1" x14ac:dyDescent="0.2">
      <c r="A175" s="22"/>
      <c r="B175" s="1"/>
      <c r="C175" s="1"/>
      <c r="D175" s="1"/>
      <c r="E175" s="1"/>
      <c r="F175" s="1"/>
      <c r="G175" s="1"/>
      <c r="H175" s="1"/>
      <c r="I175" s="1"/>
      <c r="J175" s="46"/>
    </row>
    <row r="176" spans="1:10" s="65" customFormat="1" ht="12.75" customHeight="1" x14ac:dyDescent="0.2">
      <c r="A176" s="22"/>
      <c r="B176" s="115" t="s">
        <v>38</v>
      </c>
      <c r="C176" s="115"/>
      <c r="D176" s="115"/>
      <c r="E176" s="115"/>
      <c r="F176" s="115"/>
      <c r="G176" s="115"/>
      <c r="H176" s="115"/>
      <c r="I176" s="115"/>
      <c r="J176" s="115"/>
    </row>
    <row r="177" spans="1:10" s="65" customFormat="1" ht="26.25" customHeight="1" x14ac:dyDescent="0.2">
      <c r="A177" s="22"/>
      <c r="B177" s="112" t="s">
        <v>39</v>
      </c>
      <c r="C177" s="112" t="s">
        <v>40</v>
      </c>
      <c r="D177" s="112" t="s">
        <v>41</v>
      </c>
      <c r="E177" s="112" t="s">
        <v>42</v>
      </c>
      <c r="F177" s="112" t="s">
        <v>43</v>
      </c>
      <c r="G177" s="112" t="s">
        <v>44</v>
      </c>
      <c r="H177" s="112" t="s">
        <v>45</v>
      </c>
      <c r="I177" s="112" t="s">
        <v>46</v>
      </c>
      <c r="J177" s="94" t="str">
        <f>J154</f>
        <v>Outstanding Amount</v>
      </c>
    </row>
    <row r="178" spans="1:10" s="61" customFormat="1" x14ac:dyDescent="0.2">
      <c r="A178" s="23"/>
      <c r="B178" s="113"/>
      <c r="C178" s="113"/>
      <c r="D178" s="113"/>
      <c r="E178" s="113"/>
      <c r="F178" s="113"/>
      <c r="G178" s="113"/>
      <c r="H178" s="113"/>
      <c r="I178" s="113"/>
      <c r="J178" s="95">
        <f>+J155</f>
        <v>45382</v>
      </c>
    </row>
    <row r="179" spans="1:10" s="61" customFormat="1" x14ac:dyDescent="0.2">
      <c r="A179" s="23"/>
      <c r="B179" s="2"/>
      <c r="C179" s="2"/>
      <c r="D179" s="2"/>
      <c r="E179" s="2"/>
      <c r="F179" s="2"/>
      <c r="G179" s="87"/>
      <c r="H179" s="2"/>
      <c r="I179" s="2"/>
      <c r="J179" s="10"/>
    </row>
    <row r="180" spans="1:10" s="61" customFormat="1" ht="15.75" thickBot="1" x14ac:dyDescent="0.3">
      <c r="A180" s="23" t="s">
        <v>133</v>
      </c>
      <c r="B180" s="2"/>
      <c r="C180" s="2"/>
      <c r="D180" s="2"/>
      <c r="E180" s="13" t="s">
        <v>3</v>
      </c>
      <c r="F180" s="5"/>
      <c r="G180" s="14">
        <v>45208.347502999997</v>
      </c>
      <c r="H180" s="14">
        <f>SUM(H181:H209)</f>
        <v>27148</v>
      </c>
      <c r="I180" s="14">
        <f>SUM(I181:I209)</f>
        <v>17148</v>
      </c>
      <c r="J180" s="14">
        <f>SUM(J181:J209)</f>
        <v>10000</v>
      </c>
    </row>
    <row r="181" spans="1:10" s="61" customFormat="1" ht="13.5" thickTop="1" x14ac:dyDescent="0.2">
      <c r="A181" s="23"/>
      <c r="B181" s="20" t="s">
        <v>20</v>
      </c>
      <c r="C181" s="51">
        <v>41338</v>
      </c>
      <c r="D181" s="51">
        <v>43140</v>
      </c>
      <c r="E181" s="19" t="s">
        <v>74</v>
      </c>
      <c r="F181" s="17" t="s">
        <v>0</v>
      </c>
      <c r="G181" s="17"/>
      <c r="H181" s="30">
        <v>29.5</v>
      </c>
      <c r="I181" s="30">
        <f>IF($J$34&gt;=D181,H181,0)</f>
        <v>29.5</v>
      </c>
      <c r="J181" s="21">
        <f>H181-I181</f>
        <v>0</v>
      </c>
    </row>
    <row r="182" spans="1:10" s="61" customFormat="1" x14ac:dyDescent="0.2">
      <c r="A182" s="23"/>
      <c r="B182" s="20" t="s">
        <v>20</v>
      </c>
      <c r="C182" s="51">
        <v>41339</v>
      </c>
      <c r="D182" s="51">
        <v>43140</v>
      </c>
      <c r="E182" s="19" t="s">
        <v>74</v>
      </c>
      <c r="F182" s="17" t="s">
        <v>0</v>
      </c>
      <c r="G182" s="17"/>
      <c r="H182" s="30">
        <v>350</v>
      </c>
      <c r="I182" s="30">
        <f t="shared" ref="I182:I209" si="14">IF($J$34&gt;=D182,H182,0)</f>
        <v>350</v>
      </c>
      <c r="J182" s="29">
        <f t="shared" ref="J182:J208" si="15">+H182-I182</f>
        <v>0</v>
      </c>
    </row>
    <row r="183" spans="1:10" s="61" customFormat="1" x14ac:dyDescent="0.2">
      <c r="A183" s="23"/>
      <c r="B183" s="20" t="s">
        <v>20</v>
      </c>
      <c r="C183" s="51">
        <v>41366</v>
      </c>
      <c r="D183" s="51">
        <v>43140</v>
      </c>
      <c r="E183" s="19" t="s">
        <v>74</v>
      </c>
      <c r="F183" s="17" t="s">
        <v>0</v>
      </c>
      <c r="G183" s="17"/>
      <c r="H183" s="30">
        <v>300</v>
      </c>
      <c r="I183" s="30">
        <f t="shared" si="14"/>
        <v>300</v>
      </c>
      <c r="J183" s="29">
        <f t="shared" si="15"/>
        <v>0</v>
      </c>
    </row>
    <row r="184" spans="1:10" s="61" customFormat="1" x14ac:dyDescent="0.2">
      <c r="A184" s="23"/>
      <c r="B184" s="20" t="s">
        <v>20</v>
      </c>
      <c r="C184" s="51">
        <v>41401</v>
      </c>
      <c r="D184" s="51">
        <v>43140</v>
      </c>
      <c r="E184" s="19" t="s">
        <v>74</v>
      </c>
      <c r="F184" s="17" t="s">
        <v>0</v>
      </c>
      <c r="G184" s="17"/>
      <c r="H184" s="30">
        <v>1500</v>
      </c>
      <c r="I184" s="30">
        <f t="shared" si="14"/>
        <v>1500</v>
      </c>
      <c r="J184" s="29">
        <f t="shared" si="15"/>
        <v>0</v>
      </c>
    </row>
    <row r="185" spans="1:10" s="61" customFormat="1" x14ac:dyDescent="0.2">
      <c r="A185" s="23"/>
      <c r="B185" s="20" t="s">
        <v>20</v>
      </c>
      <c r="C185" s="51">
        <v>41429</v>
      </c>
      <c r="D185" s="51">
        <v>43140</v>
      </c>
      <c r="E185" s="19" t="s">
        <v>74</v>
      </c>
      <c r="F185" s="17" t="s">
        <v>0</v>
      </c>
      <c r="G185" s="17"/>
      <c r="H185" s="30">
        <v>500</v>
      </c>
      <c r="I185" s="30">
        <f t="shared" si="14"/>
        <v>500</v>
      </c>
      <c r="J185" s="29">
        <f t="shared" si="15"/>
        <v>0</v>
      </c>
    </row>
    <row r="186" spans="1:10" s="61" customFormat="1" x14ac:dyDescent="0.2">
      <c r="A186" s="23"/>
      <c r="B186" s="20" t="s">
        <v>20</v>
      </c>
      <c r="C186" s="51">
        <v>41430</v>
      </c>
      <c r="D186" s="51">
        <v>43140</v>
      </c>
      <c r="E186" s="19" t="s">
        <v>74</v>
      </c>
      <c r="F186" s="17" t="s">
        <v>0</v>
      </c>
      <c r="G186" s="17"/>
      <c r="H186" s="30">
        <v>500</v>
      </c>
      <c r="I186" s="30">
        <f t="shared" si="14"/>
        <v>500</v>
      </c>
      <c r="J186" s="29">
        <f t="shared" si="15"/>
        <v>0</v>
      </c>
    </row>
    <row r="187" spans="1:10" s="61" customFormat="1" x14ac:dyDescent="0.2">
      <c r="A187" s="23"/>
      <c r="B187" s="20" t="s">
        <v>20</v>
      </c>
      <c r="C187" s="51">
        <v>41457</v>
      </c>
      <c r="D187" s="51">
        <v>43140</v>
      </c>
      <c r="E187" s="19" t="s">
        <v>74</v>
      </c>
      <c r="F187" s="17" t="s">
        <v>0</v>
      </c>
      <c r="G187" s="17"/>
      <c r="H187" s="30">
        <v>1500</v>
      </c>
      <c r="I187" s="30">
        <f t="shared" si="14"/>
        <v>1500</v>
      </c>
      <c r="J187" s="29">
        <f>+H187-I187</f>
        <v>0</v>
      </c>
    </row>
    <row r="188" spans="1:10" s="61" customFormat="1" x14ac:dyDescent="0.2">
      <c r="A188" s="23"/>
      <c r="B188" s="20" t="s">
        <v>20</v>
      </c>
      <c r="C188" s="51">
        <v>41458</v>
      </c>
      <c r="D188" s="51">
        <v>43140</v>
      </c>
      <c r="E188" s="19" t="s">
        <v>74</v>
      </c>
      <c r="F188" s="17" t="s">
        <v>0</v>
      </c>
      <c r="G188" s="17"/>
      <c r="H188" s="30">
        <v>1000</v>
      </c>
      <c r="I188" s="30">
        <f t="shared" si="14"/>
        <v>1000</v>
      </c>
      <c r="J188" s="29">
        <f>+H188-I188</f>
        <v>0</v>
      </c>
    </row>
    <row r="189" spans="1:10" s="61" customFormat="1" x14ac:dyDescent="0.2">
      <c r="A189" s="23"/>
      <c r="B189" s="20" t="s">
        <v>20</v>
      </c>
      <c r="C189" s="51">
        <v>41492</v>
      </c>
      <c r="D189" s="51">
        <v>43140</v>
      </c>
      <c r="E189" s="19" t="s">
        <v>74</v>
      </c>
      <c r="F189" s="17" t="s">
        <v>0</v>
      </c>
      <c r="G189" s="17"/>
      <c r="H189" s="30">
        <v>750</v>
      </c>
      <c r="I189" s="30">
        <f>IF($J$34&gt;=D189,H189,0)</f>
        <v>750</v>
      </c>
      <c r="J189" s="29">
        <f>+H189-I189</f>
        <v>0</v>
      </c>
    </row>
    <row r="190" spans="1:10" s="61" customFormat="1" x14ac:dyDescent="0.2">
      <c r="A190" s="23"/>
      <c r="B190" s="20" t="s">
        <v>20</v>
      </c>
      <c r="C190" s="51">
        <v>41493</v>
      </c>
      <c r="D190" s="51">
        <v>43140</v>
      </c>
      <c r="E190" s="19" t="s">
        <v>74</v>
      </c>
      <c r="F190" s="17" t="s">
        <v>0</v>
      </c>
      <c r="G190" s="17"/>
      <c r="H190" s="30">
        <v>1070.5</v>
      </c>
      <c r="I190" s="30">
        <f t="shared" si="14"/>
        <v>1070.5</v>
      </c>
      <c r="J190" s="29">
        <f>+H190-I190</f>
        <v>0</v>
      </c>
    </row>
    <row r="191" spans="1:10" s="61" customFormat="1" x14ac:dyDescent="0.2">
      <c r="A191" s="23"/>
      <c r="B191" s="20" t="s">
        <v>21</v>
      </c>
      <c r="C191" s="51">
        <v>41338</v>
      </c>
      <c r="D191" s="51">
        <v>44967</v>
      </c>
      <c r="E191" s="19" t="s">
        <v>75</v>
      </c>
      <c r="F191" s="17" t="s">
        <v>0</v>
      </c>
      <c r="G191" s="17"/>
      <c r="H191" s="30">
        <v>995</v>
      </c>
      <c r="I191" s="30">
        <f>IF($J$34&gt;=D191,H191,995)</f>
        <v>995</v>
      </c>
      <c r="J191" s="29">
        <f>+H191-I191</f>
        <v>0</v>
      </c>
    </row>
    <row r="192" spans="1:10" s="70" customFormat="1" x14ac:dyDescent="0.2">
      <c r="A192" s="23"/>
      <c r="B192" s="20" t="s">
        <v>21</v>
      </c>
      <c r="C192" s="51">
        <v>41339</v>
      </c>
      <c r="D192" s="51">
        <v>44967</v>
      </c>
      <c r="E192" s="19" t="s">
        <v>75</v>
      </c>
      <c r="F192" s="17" t="s">
        <v>0</v>
      </c>
      <c r="G192" s="17"/>
      <c r="H192" s="30">
        <v>1960</v>
      </c>
      <c r="I192" s="30">
        <f>IF($J$34&gt;=D192,H192,1185.3)</f>
        <v>1960</v>
      </c>
      <c r="J192" s="29">
        <f t="shared" si="15"/>
        <v>0</v>
      </c>
    </row>
    <row r="193" spans="1:10" s="61" customFormat="1" x14ac:dyDescent="0.2">
      <c r="A193" s="23"/>
      <c r="B193" s="20" t="s">
        <v>21</v>
      </c>
      <c r="C193" s="51">
        <v>41366</v>
      </c>
      <c r="D193" s="51">
        <v>44967</v>
      </c>
      <c r="E193" s="19" t="s">
        <v>75</v>
      </c>
      <c r="F193" s="17" t="s">
        <v>0</v>
      </c>
      <c r="G193" s="17"/>
      <c r="H193" s="30">
        <v>1200</v>
      </c>
      <c r="I193" s="30">
        <f>IF($J$34&gt;=D193,H193,1200)</f>
        <v>1200</v>
      </c>
      <c r="J193" s="29">
        <f t="shared" si="15"/>
        <v>0</v>
      </c>
    </row>
    <row r="194" spans="1:10" s="70" customFormat="1" x14ac:dyDescent="0.2">
      <c r="A194" s="23"/>
      <c r="B194" s="20" t="s">
        <v>21</v>
      </c>
      <c r="C194" s="51">
        <v>41401</v>
      </c>
      <c r="D194" s="51">
        <v>44967</v>
      </c>
      <c r="E194" s="19" t="s">
        <v>75</v>
      </c>
      <c r="F194" s="17" t="s">
        <v>0</v>
      </c>
      <c r="G194" s="17"/>
      <c r="H194" s="30">
        <v>3500</v>
      </c>
      <c r="I194" s="30">
        <f>IF($J$34&gt;=D194,H194,1185.3)</f>
        <v>3500</v>
      </c>
      <c r="J194" s="29">
        <f t="shared" si="15"/>
        <v>0</v>
      </c>
    </row>
    <row r="195" spans="1:10" s="61" customFormat="1" x14ac:dyDescent="0.2">
      <c r="A195" s="23"/>
      <c r="B195" s="20" t="s">
        <v>21</v>
      </c>
      <c r="C195" s="51">
        <v>41429</v>
      </c>
      <c r="D195" s="51">
        <v>44967</v>
      </c>
      <c r="E195" s="19" t="s">
        <v>75</v>
      </c>
      <c r="F195" s="17" t="s">
        <v>0</v>
      </c>
      <c r="G195" s="17"/>
      <c r="H195" s="30">
        <v>500</v>
      </c>
      <c r="I195" s="30">
        <f>IF($J$34&gt;=D195,H195,500)</f>
        <v>500</v>
      </c>
      <c r="J195" s="29">
        <f t="shared" si="15"/>
        <v>0</v>
      </c>
    </row>
    <row r="196" spans="1:10" s="70" customFormat="1" x14ac:dyDescent="0.2">
      <c r="A196" s="23"/>
      <c r="B196" s="20" t="s">
        <v>21</v>
      </c>
      <c r="C196" s="51">
        <v>41430</v>
      </c>
      <c r="D196" s="51">
        <v>44967</v>
      </c>
      <c r="E196" s="19" t="s">
        <v>75</v>
      </c>
      <c r="F196" s="17" t="s">
        <v>0</v>
      </c>
      <c r="G196" s="17"/>
      <c r="H196" s="30">
        <v>500</v>
      </c>
      <c r="I196" s="30">
        <f>IF($J$34&gt;=D196,H196,500)</f>
        <v>500</v>
      </c>
      <c r="J196" s="29">
        <f t="shared" si="15"/>
        <v>0</v>
      </c>
    </row>
    <row r="197" spans="1:10" s="70" customFormat="1" x14ac:dyDescent="0.2">
      <c r="A197" s="23"/>
      <c r="B197" s="20" t="s">
        <v>21</v>
      </c>
      <c r="C197" s="51">
        <v>41457</v>
      </c>
      <c r="D197" s="51">
        <v>44967</v>
      </c>
      <c r="E197" s="19" t="s">
        <v>75</v>
      </c>
      <c r="F197" s="17" t="s">
        <v>0</v>
      </c>
      <c r="G197" s="17"/>
      <c r="H197" s="30">
        <v>101</v>
      </c>
      <c r="I197" s="30">
        <f>IF($J$34&gt;=D197,H197,101)</f>
        <v>101</v>
      </c>
      <c r="J197" s="29">
        <f t="shared" ref="J197:J203" si="16">+H197-I197</f>
        <v>0</v>
      </c>
    </row>
    <row r="198" spans="1:10" s="61" customFormat="1" x14ac:dyDescent="0.2">
      <c r="A198" s="23"/>
      <c r="B198" s="20" t="s">
        <v>21</v>
      </c>
      <c r="C198" s="51">
        <v>41492</v>
      </c>
      <c r="D198" s="51">
        <v>44967</v>
      </c>
      <c r="E198" s="19" t="s">
        <v>75</v>
      </c>
      <c r="F198" s="17" t="s">
        <v>0</v>
      </c>
      <c r="G198" s="17"/>
      <c r="H198" s="30">
        <v>5</v>
      </c>
      <c r="I198" s="30">
        <f>IF($J$34&gt;=D198,H198,5)</f>
        <v>5</v>
      </c>
      <c r="J198" s="29">
        <f t="shared" si="16"/>
        <v>0</v>
      </c>
    </row>
    <row r="199" spans="1:10" s="70" customFormat="1" x14ac:dyDescent="0.2">
      <c r="A199" s="23"/>
      <c r="B199" s="20" t="s">
        <v>21</v>
      </c>
      <c r="C199" s="51">
        <v>41520</v>
      </c>
      <c r="D199" s="51">
        <v>44967</v>
      </c>
      <c r="E199" s="19" t="s">
        <v>75</v>
      </c>
      <c r="F199" s="17" t="s">
        <v>0</v>
      </c>
      <c r="G199" s="17"/>
      <c r="H199" s="30">
        <v>121</v>
      </c>
      <c r="I199" s="30">
        <f>IF($J$34&gt;=D199,H199,121)</f>
        <v>121</v>
      </c>
      <c r="J199" s="29">
        <f t="shared" si="16"/>
        <v>0</v>
      </c>
    </row>
    <row r="200" spans="1:10" s="70" customFormat="1" x14ac:dyDescent="0.2">
      <c r="A200" s="23"/>
      <c r="B200" s="8" t="s">
        <v>21</v>
      </c>
      <c r="C200" s="51">
        <v>41548</v>
      </c>
      <c r="D200" s="51">
        <v>44967</v>
      </c>
      <c r="E200" s="7" t="s">
        <v>75</v>
      </c>
      <c r="F200" s="35" t="s">
        <v>0</v>
      </c>
      <c r="G200" s="35"/>
      <c r="H200" s="36">
        <v>200</v>
      </c>
      <c r="I200" s="36">
        <f>IF($J$34&gt;=D200,H200,200)</f>
        <v>200</v>
      </c>
      <c r="J200" s="37">
        <f t="shared" si="16"/>
        <v>0</v>
      </c>
    </row>
    <row r="201" spans="1:10" s="70" customFormat="1" x14ac:dyDescent="0.2">
      <c r="A201" s="23"/>
      <c r="B201" s="8" t="s">
        <v>21</v>
      </c>
      <c r="C201" s="51">
        <v>41549</v>
      </c>
      <c r="D201" s="51">
        <v>44967</v>
      </c>
      <c r="E201" s="7" t="s">
        <v>75</v>
      </c>
      <c r="F201" s="35" t="s">
        <v>0</v>
      </c>
      <c r="G201" s="35"/>
      <c r="H201" s="36">
        <v>266</v>
      </c>
      <c r="I201" s="36">
        <f>IF($J$34&gt;=D201,H201,266)</f>
        <v>266</v>
      </c>
      <c r="J201" s="37">
        <f t="shared" si="16"/>
        <v>0</v>
      </c>
    </row>
    <row r="202" spans="1:10" s="70" customFormat="1" x14ac:dyDescent="0.2">
      <c r="A202" s="23"/>
      <c r="B202" s="8" t="s">
        <v>21</v>
      </c>
      <c r="C202" s="51">
        <v>41583</v>
      </c>
      <c r="D202" s="51">
        <v>44967</v>
      </c>
      <c r="E202" s="7" t="s">
        <v>75</v>
      </c>
      <c r="F202" s="35" t="s">
        <v>0</v>
      </c>
      <c r="G202" s="35"/>
      <c r="H202" s="36">
        <v>200</v>
      </c>
      <c r="I202" s="36">
        <f>IF($J$34&gt;=D202,H202,200)</f>
        <v>200</v>
      </c>
      <c r="J202" s="37">
        <f t="shared" si="16"/>
        <v>0</v>
      </c>
    </row>
    <row r="203" spans="1:10" s="70" customFormat="1" x14ac:dyDescent="0.2">
      <c r="A203" s="23"/>
      <c r="B203" s="8" t="s">
        <v>21</v>
      </c>
      <c r="C203" s="51">
        <v>41611</v>
      </c>
      <c r="D203" s="51">
        <v>44967</v>
      </c>
      <c r="E203" s="7" t="s">
        <v>75</v>
      </c>
      <c r="F203" s="35" t="s">
        <v>0</v>
      </c>
      <c r="G203" s="35"/>
      <c r="H203" s="36">
        <v>100</v>
      </c>
      <c r="I203" s="36">
        <f>IF($J$34&gt;=D203,H203,100)</f>
        <v>100</v>
      </c>
      <c r="J203" s="37">
        <f t="shared" si="16"/>
        <v>0</v>
      </c>
    </row>
    <row r="204" spans="1:10" s="70" customFormat="1" x14ac:dyDescent="0.2">
      <c r="A204" s="23"/>
      <c r="B204" s="20" t="s">
        <v>22</v>
      </c>
      <c r="C204" s="51">
        <v>41338</v>
      </c>
      <c r="D204" s="51">
        <v>46787</v>
      </c>
      <c r="E204" s="19" t="s">
        <v>76</v>
      </c>
      <c r="F204" s="17" t="s">
        <v>0</v>
      </c>
      <c r="G204" s="17"/>
      <c r="H204" s="30">
        <v>3000</v>
      </c>
      <c r="I204" s="30">
        <f t="shared" si="14"/>
        <v>0</v>
      </c>
      <c r="J204" s="29">
        <f t="shared" si="15"/>
        <v>3000</v>
      </c>
    </row>
    <row r="205" spans="1:10" s="70" customFormat="1" x14ac:dyDescent="0.2">
      <c r="A205" s="23"/>
      <c r="B205" s="20" t="s">
        <v>22</v>
      </c>
      <c r="C205" s="51">
        <v>41339</v>
      </c>
      <c r="D205" s="51">
        <v>46787</v>
      </c>
      <c r="E205" s="19" t="s">
        <v>76</v>
      </c>
      <c r="F205" s="17" t="s">
        <v>0</v>
      </c>
      <c r="G205" s="17"/>
      <c r="H205" s="30">
        <v>2500</v>
      </c>
      <c r="I205" s="30">
        <f t="shared" si="14"/>
        <v>0</v>
      </c>
      <c r="J205" s="29">
        <f t="shared" si="15"/>
        <v>2500</v>
      </c>
    </row>
    <row r="206" spans="1:10" x14ac:dyDescent="0.2">
      <c r="B206" s="20" t="s">
        <v>22</v>
      </c>
      <c r="C206" s="51">
        <v>41366</v>
      </c>
      <c r="D206" s="51">
        <v>46787</v>
      </c>
      <c r="E206" s="19" t="s">
        <v>76</v>
      </c>
      <c r="F206" s="17" t="s">
        <v>0</v>
      </c>
      <c r="G206" s="17"/>
      <c r="H206" s="30">
        <v>2500</v>
      </c>
      <c r="I206" s="30">
        <f t="shared" si="14"/>
        <v>0</v>
      </c>
      <c r="J206" s="29">
        <f t="shared" si="15"/>
        <v>2500</v>
      </c>
    </row>
    <row r="207" spans="1:10" x14ac:dyDescent="0.2">
      <c r="B207" s="20" t="s">
        <v>22</v>
      </c>
      <c r="C207" s="51">
        <v>41401</v>
      </c>
      <c r="D207" s="51">
        <v>46787</v>
      </c>
      <c r="E207" s="19" t="s">
        <v>76</v>
      </c>
      <c r="F207" s="17" t="s">
        <v>0</v>
      </c>
      <c r="G207" s="17"/>
      <c r="H207" s="30">
        <v>1000</v>
      </c>
      <c r="I207" s="30">
        <f t="shared" si="14"/>
        <v>0</v>
      </c>
      <c r="J207" s="29">
        <f t="shared" si="15"/>
        <v>1000</v>
      </c>
    </row>
    <row r="208" spans="1:10" x14ac:dyDescent="0.2">
      <c r="B208" s="20" t="s">
        <v>23</v>
      </c>
      <c r="C208" s="51">
        <v>41429</v>
      </c>
      <c r="D208" s="51">
        <v>46878</v>
      </c>
      <c r="E208" s="19" t="s">
        <v>77</v>
      </c>
      <c r="F208" s="17" t="s">
        <v>0</v>
      </c>
      <c r="G208" s="17"/>
      <c r="H208" s="30">
        <v>500</v>
      </c>
      <c r="I208" s="30">
        <f t="shared" si="14"/>
        <v>0</v>
      </c>
      <c r="J208" s="29">
        <f t="shared" si="15"/>
        <v>500</v>
      </c>
    </row>
    <row r="209" spans="1:14" x14ac:dyDescent="0.2">
      <c r="B209" s="20" t="s">
        <v>23</v>
      </c>
      <c r="C209" s="51">
        <v>41430</v>
      </c>
      <c r="D209" s="51">
        <v>46878</v>
      </c>
      <c r="E209" s="19" t="s">
        <v>77</v>
      </c>
      <c r="F209" s="17" t="s">
        <v>0</v>
      </c>
      <c r="G209" s="17"/>
      <c r="H209" s="30">
        <v>500</v>
      </c>
      <c r="I209" s="30">
        <f t="shared" si="14"/>
        <v>0</v>
      </c>
      <c r="J209" s="29">
        <f>+H209-I209</f>
        <v>500</v>
      </c>
    </row>
    <row r="210" spans="1:14" ht="13.5" thickBot="1" x14ac:dyDescent="0.25">
      <c r="B210" s="63"/>
      <c r="C210" s="63"/>
      <c r="D210" s="63"/>
      <c r="E210" s="63"/>
      <c r="F210" s="63"/>
      <c r="G210" s="63"/>
      <c r="H210" s="63"/>
      <c r="I210" s="63"/>
      <c r="J210" s="63"/>
    </row>
    <row r="211" spans="1:14" x14ac:dyDescent="0.2">
      <c r="B211" s="75"/>
      <c r="C211" s="75"/>
      <c r="D211" s="75"/>
      <c r="E211" s="75"/>
      <c r="F211" s="75"/>
      <c r="G211" s="75"/>
      <c r="H211" s="75"/>
      <c r="I211" s="75"/>
      <c r="J211" s="75"/>
      <c r="N211" s="56"/>
    </row>
    <row r="212" spans="1:14" x14ac:dyDescent="0.2">
      <c r="B212" s="75"/>
      <c r="C212" s="75"/>
      <c r="D212" s="75"/>
      <c r="E212" s="75"/>
      <c r="F212" s="75"/>
      <c r="G212" s="75"/>
      <c r="H212" s="75"/>
      <c r="I212" s="75"/>
      <c r="J212" s="75"/>
      <c r="N212" s="56"/>
    </row>
    <row r="213" spans="1:14" ht="15" x14ac:dyDescent="0.25">
      <c r="B213" s="110" t="s">
        <v>53</v>
      </c>
      <c r="C213" s="110"/>
      <c r="D213" s="110"/>
      <c r="E213" s="110"/>
      <c r="F213" s="110"/>
      <c r="G213" s="110"/>
      <c r="H213" s="110"/>
      <c r="I213" s="110"/>
      <c r="J213" s="110"/>
      <c r="N213" s="56"/>
    </row>
    <row r="214" spans="1:14" x14ac:dyDescent="0.2">
      <c r="B214" s="84"/>
      <c r="C214" s="84"/>
      <c r="D214" s="84"/>
      <c r="J214" s="47"/>
      <c r="N214" s="56"/>
    </row>
    <row r="215" spans="1:14" s="65" customFormat="1" ht="12.75" customHeight="1" x14ac:dyDescent="0.2">
      <c r="A215" s="22"/>
      <c r="B215" s="115" t="s">
        <v>38</v>
      </c>
      <c r="C215" s="115"/>
      <c r="D215" s="115"/>
      <c r="E215" s="115"/>
      <c r="F215" s="115"/>
      <c r="G215" s="115"/>
      <c r="H215" s="115"/>
      <c r="I215" s="115"/>
      <c r="J215" s="115"/>
      <c r="N215" s="66"/>
    </row>
    <row r="216" spans="1:14" ht="24" customHeight="1" x14ac:dyDescent="0.2">
      <c r="B216" s="112" t="s">
        <v>39</v>
      </c>
      <c r="C216" s="112" t="s">
        <v>40</v>
      </c>
      <c r="D216" s="112" t="s">
        <v>41</v>
      </c>
      <c r="E216" s="112" t="s">
        <v>42</v>
      </c>
      <c r="F216" s="112" t="s">
        <v>43</v>
      </c>
      <c r="G216" s="112" t="s">
        <v>44</v>
      </c>
      <c r="H216" s="112" t="s">
        <v>45</v>
      </c>
      <c r="I216" s="112" t="s">
        <v>46</v>
      </c>
      <c r="J216" s="94" t="str">
        <f>J33</f>
        <v>Outstanding Amount</v>
      </c>
      <c r="N216" s="56"/>
    </row>
    <row r="217" spans="1:14" x14ac:dyDescent="0.2">
      <c r="B217" s="113"/>
      <c r="C217" s="113"/>
      <c r="D217" s="113"/>
      <c r="E217" s="113"/>
      <c r="F217" s="113"/>
      <c r="G217" s="113"/>
      <c r="H217" s="113"/>
      <c r="I217" s="113"/>
      <c r="J217" s="95">
        <f>+J178</f>
        <v>45382</v>
      </c>
    </row>
    <row r="218" spans="1:14" x14ac:dyDescent="0.2">
      <c r="B218" s="2"/>
      <c r="C218" s="2"/>
      <c r="D218" s="2"/>
      <c r="E218" s="2"/>
      <c r="F218" s="2"/>
      <c r="G218" s="87"/>
      <c r="H218" s="2"/>
      <c r="I218" s="2"/>
      <c r="J218" s="10"/>
    </row>
    <row r="219" spans="1:14" ht="15.75" thickBot="1" x14ac:dyDescent="0.3">
      <c r="A219" s="22" t="s">
        <v>133</v>
      </c>
      <c r="B219" s="2"/>
      <c r="C219" s="2"/>
      <c r="D219" s="2"/>
      <c r="E219" s="13" t="s">
        <v>3</v>
      </c>
      <c r="F219" s="5"/>
      <c r="G219" s="14">
        <v>33614.400000000001</v>
      </c>
      <c r="H219" s="14">
        <f>SUM(H220:H227)</f>
        <v>33614</v>
      </c>
      <c r="I219" s="14">
        <f>SUM(I220:I227)</f>
        <v>13819.333333333336</v>
      </c>
      <c r="J219" s="14">
        <f>SUM(J220:J227)</f>
        <v>19794.666666666664</v>
      </c>
    </row>
    <row r="220" spans="1:14" ht="13.5" thickTop="1" x14ac:dyDescent="0.2">
      <c r="B220" s="20" t="s">
        <v>25</v>
      </c>
      <c r="C220" s="51">
        <v>41821</v>
      </c>
      <c r="D220" s="51">
        <v>43595</v>
      </c>
      <c r="E220" s="19" t="s">
        <v>78</v>
      </c>
      <c r="F220" s="17" t="s">
        <v>0</v>
      </c>
      <c r="G220" s="17"/>
      <c r="H220" s="30">
        <v>3500</v>
      </c>
      <c r="I220" s="30">
        <f t="shared" ref="I220:I227" si="17">IF($J$34&gt;=D220,H220,0)</f>
        <v>3500</v>
      </c>
      <c r="J220" s="21">
        <f t="shared" ref="J220:J227" si="18">H220-I220</f>
        <v>0</v>
      </c>
    </row>
    <row r="221" spans="1:14" x14ac:dyDescent="0.2">
      <c r="B221" s="20" t="s">
        <v>25</v>
      </c>
      <c r="C221" s="51">
        <v>41822</v>
      </c>
      <c r="D221" s="51">
        <v>43595</v>
      </c>
      <c r="E221" s="19" t="s">
        <v>78</v>
      </c>
      <c r="F221" s="17" t="s">
        <v>0</v>
      </c>
      <c r="G221" s="17"/>
      <c r="H221" s="30">
        <v>6500</v>
      </c>
      <c r="I221" s="30">
        <f t="shared" si="17"/>
        <v>6500</v>
      </c>
      <c r="J221" s="29">
        <f t="shared" si="18"/>
        <v>0</v>
      </c>
    </row>
    <row r="222" spans="1:14" x14ac:dyDescent="0.2">
      <c r="B222" s="20" t="s">
        <v>26</v>
      </c>
      <c r="C222" s="51">
        <v>41821</v>
      </c>
      <c r="D222" s="51">
        <v>45422</v>
      </c>
      <c r="E222" s="19" t="s">
        <v>79</v>
      </c>
      <c r="F222" s="17" t="s">
        <v>0</v>
      </c>
      <c r="G222" s="17"/>
      <c r="H222" s="30">
        <v>5000</v>
      </c>
      <c r="I222" s="30">
        <f>IF($J$34&gt;=D222,H222,(5729/6))</f>
        <v>954.83333333333337</v>
      </c>
      <c r="J222" s="29">
        <f t="shared" si="18"/>
        <v>4045.1666666666665</v>
      </c>
    </row>
    <row r="223" spans="1:14" x14ac:dyDescent="0.2">
      <c r="B223" s="20" t="s">
        <v>26</v>
      </c>
      <c r="C223" s="51">
        <v>41822</v>
      </c>
      <c r="D223" s="51">
        <v>45422</v>
      </c>
      <c r="E223" s="19" t="s">
        <v>79</v>
      </c>
      <c r="F223" s="17" t="s">
        <v>0</v>
      </c>
      <c r="G223" s="17"/>
      <c r="H223" s="30">
        <v>5000</v>
      </c>
      <c r="I223" s="30">
        <f t="shared" ref="I223:I225" si="19">IF($J$34&gt;=D223,H223,(5729/6))</f>
        <v>954.83333333333337</v>
      </c>
      <c r="J223" s="29">
        <f t="shared" si="18"/>
        <v>4045.1666666666665</v>
      </c>
    </row>
    <row r="224" spans="1:14" x14ac:dyDescent="0.2">
      <c r="B224" s="20" t="s">
        <v>26</v>
      </c>
      <c r="C224" s="51">
        <v>41884</v>
      </c>
      <c r="D224" s="51">
        <v>45422</v>
      </c>
      <c r="E224" s="19" t="s">
        <v>79</v>
      </c>
      <c r="F224" s="17" t="s">
        <v>0</v>
      </c>
      <c r="G224" s="17"/>
      <c r="H224" s="30">
        <v>1500</v>
      </c>
      <c r="I224" s="30">
        <f t="shared" si="19"/>
        <v>954.83333333333337</v>
      </c>
      <c r="J224" s="29">
        <f t="shared" si="18"/>
        <v>545.16666666666663</v>
      </c>
    </row>
    <row r="225" spans="1:10" x14ac:dyDescent="0.2">
      <c r="B225" s="20" t="s">
        <v>26</v>
      </c>
      <c r="C225" s="51">
        <v>41885</v>
      </c>
      <c r="D225" s="51">
        <v>45422</v>
      </c>
      <c r="E225" s="19" t="s">
        <v>79</v>
      </c>
      <c r="F225" s="17" t="s">
        <v>0</v>
      </c>
      <c r="G225" s="17"/>
      <c r="H225" s="30">
        <v>2114</v>
      </c>
      <c r="I225" s="30">
        <f t="shared" si="19"/>
        <v>954.83333333333337</v>
      </c>
      <c r="J225" s="29">
        <f t="shared" si="18"/>
        <v>1159.1666666666665</v>
      </c>
    </row>
    <row r="226" spans="1:10" x14ac:dyDescent="0.2">
      <c r="B226" s="20" t="s">
        <v>24</v>
      </c>
      <c r="C226" s="51">
        <v>41856</v>
      </c>
      <c r="D226" s="51">
        <v>47305</v>
      </c>
      <c r="E226" s="19" t="s">
        <v>80</v>
      </c>
      <c r="F226" s="17" t="s">
        <v>0</v>
      </c>
      <c r="G226" s="17"/>
      <c r="H226" s="30">
        <v>3500</v>
      </c>
      <c r="I226" s="30">
        <f t="shared" si="17"/>
        <v>0</v>
      </c>
      <c r="J226" s="29">
        <f t="shared" si="18"/>
        <v>3500</v>
      </c>
    </row>
    <row r="227" spans="1:10" x14ac:dyDescent="0.2">
      <c r="B227" s="20" t="s">
        <v>24</v>
      </c>
      <c r="C227" s="51">
        <v>41857</v>
      </c>
      <c r="D227" s="51">
        <v>47305</v>
      </c>
      <c r="E227" s="19" t="s">
        <v>80</v>
      </c>
      <c r="F227" s="17" t="s">
        <v>0</v>
      </c>
      <c r="G227" s="17"/>
      <c r="H227" s="30">
        <v>6500</v>
      </c>
      <c r="I227" s="30">
        <f t="shared" si="17"/>
        <v>0</v>
      </c>
      <c r="J227" s="29">
        <f t="shared" si="18"/>
        <v>6500</v>
      </c>
    </row>
    <row r="228" spans="1:10" ht="13.5" thickBot="1" x14ac:dyDescent="0.25">
      <c r="B228" s="63"/>
      <c r="C228" s="63"/>
      <c r="D228" s="63"/>
      <c r="E228" s="63"/>
      <c r="F228" s="63"/>
      <c r="G228" s="63"/>
      <c r="H228" s="63"/>
      <c r="I228" s="63"/>
      <c r="J228" s="63"/>
    </row>
    <row r="229" spans="1:10" x14ac:dyDescent="0.2">
      <c r="B229" s="20"/>
      <c r="C229" s="88"/>
      <c r="D229" s="89"/>
      <c r="E229" s="19"/>
      <c r="F229" s="17"/>
      <c r="G229" s="17"/>
      <c r="H229" s="30"/>
      <c r="I229" s="30"/>
      <c r="J229" s="29"/>
    </row>
    <row r="230" spans="1:10" x14ac:dyDescent="0.2">
      <c r="B230" s="20"/>
      <c r="C230" s="88"/>
      <c r="D230" s="89"/>
      <c r="E230" s="19"/>
      <c r="F230" s="17"/>
      <c r="G230" s="17"/>
      <c r="H230" s="30"/>
      <c r="I230" s="30"/>
      <c r="J230" s="29"/>
    </row>
    <row r="231" spans="1:10" ht="15" x14ac:dyDescent="0.25">
      <c r="B231" s="110" t="s">
        <v>54</v>
      </c>
      <c r="C231" s="110"/>
      <c r="D231" s="110"/>
      <c r="E231" s="110"/>
      <c r="F231" s="110"/>
      <c r="G231" s="110"/>
      <c r="H231" s="110"/>
      <c r="I231" s="110"/>
      <c r="J231" s="110"/>
    </row>
    <row r="232" spans="1:10" x14ac:dyDescent="0.2">
      <c r="B232" s="84"/>
      <c r="C232" s="84"/>
      <c r="D232" s="84"/>
      <c r="J232" s="47"/>
    </row>
    <row r="233" spans="1:10" ht="12.75" customHeight="1" x14ac:dyDescent="0.2">
      <c r="B233" s="114" t="s">
        <v>38</v>
      </c>
      <c r="C233" s="114"/>
      <c r="D233" s="114"/>
      <c r="E233" s="114"/>
      <c r="F233" s="114"/>
      <c r="G233" s="114"/>
      <c r="H233" s="114"/>
      <c r="I233" s="114"/>
      <c r="J233" s="114"/>
    </row>
    <row r="234" spans="1:10" ht="24.75" customHeight="1" x14ac:dyDescent="0.2">
      <c r="B234" s="112" t="s">
        <v>39</v>
      </c>
      <c r="C234" s="112" t="s">
        <v>40</v>
      </c>
      <c r="D234" s="112" t="s">
        <v>41</v>
      </c>
      <c r="E234" s="112" t="s">
        <v>42</v>
      </c>
      <c r="F234" s="112" t="s">
        <v>43</v>
      </c>
      <c r="G234" s="112" t="s">
        <v>44</v>
      </c>
      <c r="H234" s="112" t="s">
        <v>45</v>
      </c>
      <c r="I234" s="112" t="s">
        <v>46</v>
      </c>
      <c r="J234" s="94" t="str">
        <f>J33</f>
        <v>Outstanding Amount</v>
      </c>
    </row>
    <row r="235" spans="1:10" x14ac:dyDescent="0.2">
      <c r="B235" s="113"/>
      <c r="C235" s="113"/>
      <c r="D235" s="113"/>
      <c r="E235" s="113"/>
      <c r="F235" s="113"/>
      <c r="G235" s="113"/>
      <c r="H235" s="113"/>
      <c r="I235" s="113"/>
      <c r="J235" s="95">
        <f>+J217</f>
        <v>45382</v>
      </c>
    </row>
    <row r="236" spans="1:10" x14ac:dyDescent="0.2">
      <c r="B236" s="2"/>
      <c r="C236" s="2"/>
      <c r="D236" s="2"/>
      <c r="E236" s="2"/>
      <c r="F236" s="2"/>
      <c r="G236" s="87"/>
      <c r="H236" s="2"/>
      <c r="I236" s="2"/>
      <c r="J236" s="10"/>
    </row>
    <row r="237" spans="1:10" ht="15.75" thickBot="1" x14ac:dyDescent="0.3">
      <c r="A237" s="22" t="s">
        <v>133</v>
      </c>
      <c r="B237" s="2"/>
      <c r="C237" s="2"/>
      <c r="D237" s="2"/>
      <c r="E237" s="13" t="s">
        <v>3</v>
      </c>
      <c r="F237" s="5"/>
      <c r="G237" s="14">
        <v>110888.75</v>
      </c>
      <c r="H237" s="14">
        <f>SUM(H238:H248)</f>
        <v>42000</v>
      </c>
      <c r="I237" s="14">
        <f>SUM(I238:I248)</f>
        <v>16673.266666666666</v>
      </c>
      <c r="J237" s="14">
        <f>SUM(J238:J248)</f>
        <v>25326.733333333337</v>
      </c>
    </row>
    <row r="238" spans="1:10" ht="13.5" thickTop="1" x14ac:dyDescent="0.2">
      <c r="B238" s="20" t="s">
        <v>27</v>
      </c>
      <c r="C238" s="51">
        <v>42073</v>
      </c>
      <c r="D238" s="51">
        <v>44624</v>
      </c>
      <c r="E238" s="19" t="s">
        <v>81</v>
      </c>
      <c r="F238" s="17" t="s">
        <v>0</v>
      </c>
      <c r="G238" s="17"/>
      <c r="H238" s="30">
        <v>4000</v>
      </c>
      <c r="I238" s="30">
        <f>IF($J$34&gt;=D238,H238,(7294.5/4))</f>
        <v>4000</v>
      </c>
      <c r="J238" s="21">
        <f>H238-I238</f>
        <v>0</v>
      </c>
    </row>
    <row r="239" spans="1:10" x14ac:dyDescent="0.2">
      <c r="B239" s="20" t="s">
        <v>24</v>
      </c>
      <c r="C239" s="51">
        <v>42073</v>
      </c>
      <c r="D239" s="51">
        <v>47305</v>
      </c>
      <c r="E239" s="19" t="s">
        <v>80</v>
      </c>
      <c r="F239" s="17" t="s">
        <v>0</v>
      </c>
      <c r="G239" s="17"/>
      <c r="H239" s="30">
        <v>2500</v>
      </c>
      <c r="I239" s="30">
        <f>IF($J$34&gt;=D239,H239,0)</f>
        <v>0</v>
      </c>
      <c r="J239" s="29">
        <f t="shared" ref="J239:J248" si="20">H239-I239</f>
        <v>2500</v>
      </c>
    </row>
    <row r="240" spans="1:10" x14ac:dyDescent="0.2">
      <c r="B240" s="20" t="s">
        <v>24</v>
      </c>
      <c r="C240" s="51">
        <v>42074</v>
      </c>
      <c r="D240" s="51">
        <v>47305</v>
      </c>
      <c r="E240" s="19" t="s">
        <v>80</v>
      </c>
      <c r="F240" s="17" t="s">
        <v>0</v>
      </c>
      <c r="G240" s="17"/>
      <c r="H240" s="30">
        <v>7500</v>
      </c>
      <c r="I240" s="30">
        <f>IF($J$34&gt;=D240,H240,0)</f>
        <v>0</v>
      </c>
      <c r="J240" s="29">
        <f t="shared" si="20"/>
        <v>7500</v>
      </c>
    </row>
    <row r="241" spans="2:12" x14ac:dyDescent="0.2">
      <c r="B241" s="20" t="s">
        <v>27</v>
      </c>
      <c r="C241" s="51">
        <v>42101</v>
      </c>
      <c r="D241" s="51">
        <v>44624</v>
      </c>
      <c r="E241" s="19" t="s">
        <v>81</v>
      </c>
      <c r="F241" s="17" t="s">
        <v>0</v>
      </c>
      <c r="G241" s="17"/>
      <c r="H241" s="30">
        <v>4000</v>
      </c>
      <c r="I241" s="30">
        <f>IF($J$34&gt;=D241,H241,(7294.5/4))</f>
        <v>4000</v>
      </c>
      <c r="J241" s="29">
        <f t="shared" si="20"/>
        <v>0</v>
      </c>
    </row>
    <row r="242" spans="2:12" x14ac:dyDescent="0.2">
      <c r="B242" s="20" t="s">
        <v>27</v>
      </c>
      <c r="C242" s="51">
        <v>42102</v>
      </c>
      <c r="D242" s="51">
        <v>44624</v>
      </c>
      <c r="E242" s="19" t="s">
        <v>81</v>
      </c>
      <c r="F242" s="17" t="s">
        <v>0</v>
      </c>
      <c r="G242" s="17"/>
      <c r="H242" s="30">
        <v>2000</v>
      </c>
      <c r="I242" s="30">
        <f>IF($J$34&gt;=D242,H242,(7294.5/4))</f>
        <v>2000</v>
      </c>
      <c r="J242" s="29">
        <f t="shared" si="20"/>
        <v>0</v>
      </c>
    </row>
    <row r="243" spans="2:12" x14ac:dyDescent="0.2">
      <c r="B243" s="20" t="s">
        <v>28</v>
      </c>
      <c r="C243" s="51">
        <v>42157</v>
      </c>
      <c r="D243" s="51">
        <v>46087</v>
      </c>
      <c r="E243" s="19" t="s">
        <v>81</v>
      </c>
      <c r="F243" s="17" t="s">
        <v>0</v>
      </c>
      <c r="G243" s="17"/>
      <c r="H243" s="30">
        <v>5000</v>
      </c>
      <c r="I243" s="30">
        <f>IF($J$34&gt;=D243,H243,(4763.6/2))</f>
        <v>2381.8000000000002</v>
      </c>
      <c r="J243" s="29">
        <f t="shared" si="20"/>
        <v>2618.1999999999998</v>
      </c>
    </row>
    <row r="244" spans="2:12" x14ac:dyDescent="0.2">
      <c r="B244" s="20" t="s">
        <v>28</v>
      </c>
      <c r="C244" s="51">
        <v>42158</v>
      </c>
      <c r="D244" s="51">
        <v>46087</v>
      </c>
      <c r="E244" s="19" t="s">
        <v>81</v>
      </c>
      <c r="F244" s="17" t="s">
        <v>0</v>
      </c>
      <c r="G244" s="17"/>
      <c r="H244" s="30">
        <v>7000</v>
      </c>
      <c r="I244" s="30">
        <f>IF($J$34&gt;=D244,H244,(4763.6/2))</f>
        <v>2381.8000000000002</v>
      </c>
      <c r="J244" s="29">
        <f t="shared" si="20"/>
        <v>4618.2</v>
      </c>
    </row>
    <row r="245" spans="2:12" x14ac:dyDescent="0.2">
      <c r="B245" s="20" t="s">
        <v>26</v>
      </c>
      <c r="C245" s="51">
        <v>42192</v>
      </c>
      <c r="D245" s="51">
        <v>45422</v>
      </c>
      <c r="E245" s="19" t="s">
        <v>82</v>
      </c>
      <c r="F245" s="17" t="s">
        <v>0</v>
      </c>
      <c r="G245" s="17"/>
      <c r="H245" s="30">
        <v>3000</v>
      </c>
      <c r="I245" s="30">
        <f>IF($J$34&gt;=D245,H245,(5729/6))</f>
        <v>954.83333333333337</v>
      </c>
      <c r="J245" s="29">
        <f t="shared" si="20"/>
        <v>2045.1666666666665</v>
      </c>
    </row>
    <row r="246" spans="2:12" x14ac:dyDescent="0.2">
      <c r="B246" s="20" t="s">
        <v>26</v>
      </c>
      <c r="C246" s="51">
        <v>42193</v>
      </c>
      <c r="D246" s="51">
        <v>45422</v>
      </c>
      <c r="E246" s="19" t="s">
        <v>82</v>
      </c>
      <c r="F246" s="17" t="s">
        <v>0</v>
      </c>
      <c r="G246" s="17"/>
      <c r="H246" s="30">
        <v>4000</v>
      </c>
      <c r="I246" s="30">
        <f>IF($J$34&gt;=D246,H246,(5729/6))</f>
        <v>954.83333333333337</v>
      </c>
      <c r="J246" s="29">
        <f t="shared" si="20"/>
        <v>3045.1666666666665</v>
      </c>
    </row>
    <row r="247" spans="2:12" x14ac:dyDescent="0.2">
      <c r="B247" s="20" t="s">
        <v>24</v>
      </c>
      <c r="C247" s="51">
        <v>42248</v>
      </c>
      <c r="D247" s="51">
        <v>47305</v>
      </c>
      <c r="E247" s="19" t="s">
        <v>80</v>
      </c>
      <c r="F247" s="17" t="s">
        <v>0</v>
      </c>
      <c r="G247" s="17"/>
      <c r="H247" s="30">
        <v>1000</v>
      </c>
      <c r="I247" s="30">
        <f t="shared" ref="I247:I248" si="21">IF($J$34&gt;=D247,H247,0)</f>
        <v>0</v>
      </c>
      <c r="J247" s="29">
        <f t="shared" si="20"/>
        <v>1000</v>
      </c>
    </row>
    <row r="248" spans="2:12" x14ac:dyDescent="0.2">
      <c r="B248" s="20" t="s">
        <v>24</v>
      </c>
      <c r="C248" s="51">
        <v>42249</v>
      </c>
      <c r="D248" s="51">
        <v>47305</v>
      </c>
      <c r="E248" s="19" t="s">
        <v>80</v>
      </c>
      <c r="F248" s="17" t="s">
        <v>0</v>
      </c>
      <c r="G248" s="17"/>
      <c r="H248" s="30">
        <v>2000</v>
      </c>
      <c r="I248" s="30">
        <f t="shared" si="21"/>
        <v>0</v>
      </c>
      <c r="J248" s="29">
        <f t="shared" si="20"/>
        <v>2000</v>
      </c>
    </row>
    <row r="249" spans="2:12" ht="13.5" thickBot="1" x14ac:dyDescent="0.25">
      <c r="B249" s="63"/>
      <c r="C249" s="63"/>
      <c r="D249" s="63"/>
      <c r="E249" s="63"/>
      <c r="F249" s="63"/>
      <c r="G249" s="63"/>
      <c r="H249" s="63"/>
      <c r="I249" s="63"/>
      <c r="J249" s="63"/>
    </row>
    <row r="250" spans="2:12" x14ac:dyDescent="0.2">
      <c r="B250" s="20"/>
      <c r="C250" s="88"/>
      <c r="D250" s="89"/>
      <c r="E250" s="19"/>
      <c r="F250" s="17"/>
      <c r="G250" s="17"/>
      <c r="H250" s="30"/>
      <c r="I250" s="30"/>
      <c r="J250" s="29"/>
    </row>
    <row r="251" spans="2:12" x14ac:dyDescent="0.2">
      <c r="B251" s="48" t="s">
        <v>56</v>
      </c>
      <c r="C251" s="11"/>
      <c r="D251" s="11"/>
      <c r="E251" s="11"/>
      <c r="F251" s="11"/>
      <c r="G251" s="12"/>
      <c r="H251" s="11"/>
      <c r="I251" s="11"/>
      <c r="J251" s="11"/>
    </row>
    <row r="252" spans="2:12" ht="13.5" thickBot="1" x14ac:dyDescent="0.25">
      <c r="B252" s="90"/>
      <c r="C252" s="90"/>
      <c r="D252" s="90"/>
      <c r="F252" s="58"/>
    </row>
    <row r="253" spans="2:12" ht="13.5" thickTop="1" x14ac:dyDescent="0.2">
      <c r="F253" s="58"/>
      <c r="G253" s="91"/>
      <c r="J253" s="11"/>
    </row>
    <row r="254" spans="2:12" x14ac:dyDescent="0.2">
      <c r="J254" s="11"/>
    </row>
    <row r="256" spans="2:12" ht="15" x14ac:dyDescent="0.25">
      <c r="B256" s="110" t="s">
        <v>55</v>
      </c>
      <c r="C256" s="110"/>
      <c r="D256" s="110"/>
      <c r="E256" s="110"/>
      <c r="F256" s="110"/>
      <c r="G256" s="110"/>
      <c r="H256" s="110"/>
      <c r="I256" s="110"/>
      <c r="J256" s="110"/>
      <c r="L256" s="56"/>
    </row>
    <row r="257" spans="1:12" ht="13.5" customHeight="1" x14ac:dyDescent="0.2">
      <c r="B257" s="84"/>
      <c r="C257" s="84"/>
      <c r="D257" s="84"/>
      <c r="J257" s="47"/>
      <c r="L257" s="56"/>
    </row>
    <row r="258" spans="1:12" ht="13.5" customHeight="1" x14ac:dyDescent="0.2">
      <c r="B258" s="111" t="s">
        <v>38</v>
      </c>
      <c r="C258" s="111"/>
      <c r="D258" s="111"/>
      <c r="E258" s="111"/>
      <c r="F258" s="111"/>
      <c r="G258" s="111"/>
      <c r="H258" s="111"/>
      <c r="I258" s="111"/>
      <c r="J258" s="111"/>
      <c r="L258" s="56"/>
    </row>
    <row r="259" spans="1:12" ht="28.5" customHeight="1" x14ac:dyDescent="0.2">
      <c r="B259" s="112" t="s">
        <v>39</v>
      </c>
      <c r="C259" s="112" t="s">
        <v>40</v>
      </c>
      <c r="D259" s="112" t="s">
        <v>41</v>
      </c>
      <c r="E259" s="112" t="s">
        <v>42</v>
      </c>
      <c r="F259" s="112" t="s">
        <v>43</v>
      </c>
      <c r="G259" s="112" t="s">
        <v>44</v>
      </c>
      <c r="H259" s="112" t="s">
        <v>45</v>
      </c>
      <c r="I259" s="112" t="s">
        <v>46</v>
      </c>
      <c r="J259" s="94" t="str">
        <f>J33</f>
        <v>Outstanding Amount</v>
      </c>
      <c r="L259" s="56"/>
    </row>
    <row r="260" spans="1:12" ht="15" customHeight="1" x14ac:dyDescent="0.2">
      <c r="B260" s="113"/>
      <c r="C260" s="113"/>
      <c r="D260" s="113"/>
      <c r="E260" s="113"/>
      <c r="F260" s="113"/>
      <c r="G260" s="113"/>
      <c r="H260" s="113"/>
      <c r="I260" s="113"/>
      <c r="J260" s="95">
        <f>+J235</f>
        <v>45382</v>
      </c>
      <c r="L260" s="56"/>
    </row>
    <row r="261" spans="1:12" ht="13.5" customHeight="1" x14ac:dyDescent="0.2">
      <c r="B261" s="2"/>
      <c r="C261" s="2"/>
      <c r="D261" s="2"/>
      <c r="E261" s="2"/>
      <c r="F261" s="2"/>
      <c r="G261" s="87"/>
      <c r="H261" s="2"/>
      <c r="I261" s="2"/>
      <c r="J261" s="10"/>
      <c r="L261" s="56"/>
    </row>
    <row r="262" spans="1:12" ht="15.75" thickBot="1" x14ac:dyDescent="0.3">
      <c r="A262" s="22" t="s">
        <v>133</v>
      </c>
      <c r="B262" s="2"/>
      <c r="C262" s="2"/>
      <c r="D262" s="2"/>
      <c r="E262" s="13" t="s">
        <v>3</v>
      </c>
      <c r="F262" s="5"/>
      <c r="G262" s="14">
        <v>114500</v>
      </c>
      <c r="H262" s="14">
        <f>+SUM(H263:H279)</f>
        <v>73000</v>
      </c>
      <c r="I262" s="14">
        <f>+SUM(I263:I279)</f>
        <v>40610.1</v>
      </c>
      <c r="J262" s="14">
        <f>+SUM(J263:J279)</f>
        <v>32389.9</v>
      </c>
      <c r="L262" s="56"/>
    </row>
    <row r="263" spans="1:12" ht="13.5" thickTop="1" x14ac:dyDescent="0.2">
      <c r="B263" s="20" t="s">
        <v>29</v>
      </c>
      <c r="C263" s="51">
        <v>42384</v>
      </c>
      <c r="D263" s="51">
        <v>46036</v>
      </c>
      <c r="E263" s="43" t="s">
        <v>83</v>
      </c>
      <c r="F263" s="17" t="s">
        <v>0</v>
      </c>
      <c r="G263" s="17"/>
      <c r="H263" s="30">
        <v>3000</v>
      </c>
      <c r="I263" s="30">
        <f>IF($J$34&gt;=D263,H263,(8504.9/6))</f>
        <v>1417.4833333333333</v>
      </c>
      <c r="J263" s="21">
        <f t="shared" ref="J263:J275" si="22">H263-I263</f>
        <v>1582.5166666666667</v>
      </c>
      <c r="L263" s="56"/>
    </row>
    <row r="264" spans="1:12" x14ac:dyDescent="0.2">
      <c r="B264" s="20" t="s">
        <v>29</v>
      </c>
      <c r="C264" s="51">
        <v>42387</v>
      </c>
      <c r="D264" s="51">
        <v>46036</v>
      </c>
      <c r="E264" s="43" t="s">
        <v>83</v>
      </c>
      <c r="F264" s="17" t="s">
        <v>0</v>
      </c>
      <c r="G264" s="17"/>
      <c r="H264" s="30">
        <v>1993</v>
      </c>
      <c r="I264" s="30">
        <f>IF($J$34&gt;=D264,H264,(8504.9/6))</f>
        <v>1417.4833333333333</v>
      </c>
      <c r="J264" s="29">
        <f t="shared" si="22"/>
        <v>575.51666666666665</v>
      </c>
      <c r="L264" s="56"/>
    </row>
    <row r="265" spans="1:12" x14ac:dyDescent="0.2">
      <c r="B265" s="20" t="s">
        <v>29</v>
      </c>
      <c r="C265" s="51">
        <v>42402</v>
      </c>
      <c r="D265" s="51">
        <v>46036</v>
      </c>
      <c r="E265" s="43" t="s">
        <v>83</v>
      </c>
      <c r="F265" s="17" t="s">
        <v>0</v>
      </c>
      <c r="G265" s="17"/>
      <c r="H265" s="30">
        <v>3500</v>
      </c>
      <c r="I265" s="30">
        <f>IF($J$34&gt;=D265,H265,(8504.9/6))</f>
        <v>1417.4833333333333</v>
      </c>
      <c r="J265" s="29">
        <f t="shared" si="22"/>
        <v>2082.5166666666664</v>
      </c>
      <c r="L265" s="56"/>
    </row>
    <row r="266" spans="1:12" x14ac:dyDescent="0.2">
      <c r="B266" s="20" t="s">
        <v>29</v>
      </c>
      <c r="C266" s="51">
        <v>42403</v>
      </c>
      <c r="D266" s="51">
        <v>46036</v>
      </c>
      <c r="E266" s="43" t="s">
        <v>83</v>
      </c>
      <c r="F266" s="17" t="s">
        <v>0</v>
      </c>
      <c r="G266" s="17"/>
      <c r="H266" s="30">
        <v>1507</v>
      </c>
      <c r="I266" s="30">
        <f>IF($J$34&gt;=D266,H266,1507)</f>
        <v>1507</v>
      </c>
      <c r="J266" s="29">
        <f t="shared" si="22"/>
        <v>0</v>
      </c>
      <c r="L266" s="56"/>
    </row>
    <row r="267" spans="1:12" x14ac:dyDescent="0.2">
      <c r="B267" s="20" t="s">
        <v>29</v>
      </c>
      <c r="C267" s="51">
        <v>42430</v>
      </c>
      <c r="D267" s="51">
        <v>46036</v>
      </c>
      <c r="E267" s="43" t="s">
        <v>83</v>
      </c>
      <c r="F267" s="17" t="s">
        <v>0</v>
      </c>
      <c r="G267" s="17"/>
      <c r="H267" s="30">
        <v>3753.9</v>
      </c>
      <c r="I267" s="30">
        <f>IF($J$34&gt;=D267,H267,(8504.9/6))</f>
        <v>1417.4833333333333</v>
      </c>
      <c r="J267" s="29">
        <f t="shared" si="22"/>
        <v>2336.416666666667</v>
      </c>
      <c r="L267" s="56"/>
    </row>
    <row r="268" spans="1:12" x14ac:dyDescent="0.2">
      <c r="B268" s="20" t="s">
        <v>29</v>
      </c>
      <c r="C268" s="51">
        <v>42431</v>
      </c>
      <c r="D268" s="51">
        <v>46036</v>
      </c>
      <c r="E268" s="43" t="s">
        <v>83</v>
      </c>
      <c r="F268" s="17" t="s">
        <v>0</v>
      </c>
      <c r="G268" s="17"/>
      <c r="H268" s="30">
        <v>2496.1</v>
      </c>
      <c r="I268" s="30">
        <f>IF($J$34&gt;=D268,H268,(8504.9/6))</f>
        <v>1417.4833333333333</v>
      </c>
      <c r="J268" s="29">
        <f t="shared" si="22"/>
        <v>1078.6166666666666</v>
      </c>
      <c r="L268" s="56"/>
    </row>
    <row r="269" spans="1:12" x14ac:dyDescent="0.2">
      <c r="B269" s="20" t="s">
        <v>29</v>
      </c>
      <c r="C269" s="51">
        <v>42465</v>
      </c>
      <c r="D269" s="51">
        <v>46036</v>
      </c>
      <c r="E269" s="43" t="s">
        <v>83</v>
      </c>
      <c r="F269" s="17" t="s">
        <v>0</v>
      </c>
      <c r="G269" s="17"/>
      <c r="H269" s="30">
        <v>3000</v>
      </c>
      <c r="I269" s="30">
        <f>IF($J$34&gt;=D269,H269,(8504.9/6))</f>
        <v>1417.4833333333333</v>
      </c>
      <c r="J269" s="29">
        <f t="shared" si="22"/>
        <v>1582.5166666666667</v>
      </c>
      <c r="L269" s="56"/>
    </row>
    <row r="270" spans="1:12" x14ac:dyDescent="0.2">
      <c r="B270" s="20" t="s">
        <v>29</v>
      </c>
      <c r="C270" s="51">
        <v>42466</v>
      </c>
      <c r="D270" s="51">
        <v>46036</v>
      </c>
      <c r="E270" s="43" t="s">
        <v>83</v>
      </c>
      <c r="F270" s="17" t="s">
        <v>0</v>
      </c>
      <c r="G270" s="17"/>
      <c r="H270" s="30">
        <v>750</v>
      </c>
      <c r="I270" s="30">
        <f>IF($J$34&gt;=D270,H270,750)</f>
        <v>750</v>
      </c>
      <c r="J270" s="29">
        <f t="shared" si="22"/>
        <v>0</v>
      </c>
      <c r="L270" s="56"/>
    </row>
    <row r="271" spans="1:12" x14ac:dyDescent="0.2">
      <c r="B271" s="20" t="s">
        <v>30</v>
      </c>
      <c r="C271" s="51">
        <v>42493</v>
      </c>
      <c r="D271" s="51">
        <v>46332</v>
      </c>
      <c r="E271" s="43" t="s">
        <v>84</v>
      </c>
      <c r="F271" s="17" t="s">
        <v>0</v>
      </c>
      <c r="G271" s="17"/>
      <c r="H271" s="30">
        <v>7000</v>
      </c>
      <c r="I271" s="30">
        <f>IF($J$34&gt;=D271,H271,(12242.4/2))</f>
        <v>6121.2</v>
      </c>
      <c r="J271" s="29">
        <f t="shared" si="22"/>
        <v>878.80000000000018</v>
      </c>
      <c r="L271" s="56"/>
    </row>
    <row r="272" spans="1:12" x14ac:dyDescent="0.2">
      <c r="B272" s="20" t="s">
        <v>30</v>
      </c>
      <c r="C272" s="51">
        <v>42494</v>
      </c>
      <c r="D272" s="51">
        <v>46332</v>
      </c>
      <c r="E272" s="43" t="s">
        <v>84</v>
      </c>
      <c r="F272" s="17" t="s">
        <v>0</v>
      </c>
      <c r="G272" s="17"/>
      <c r="H272" s="30">
        <v>13000</v>
      </c>
      <c r="I272" s="30">
        <f>IF($J$34&gt;=D272,H272,(12242.4/2))</f>
        <v>6121.2</v>
      </c>
      <c r="J272" s="29">
        <f t="shared" si="22"/>
        <v>6878.8</v>
      </c>
      <c r="L272" s="56"/>
    </row>
    <row r="273" spans="2:12" x14ac:dyDescent="0.2">
      <c r="B273" s="20" t="s">
        <v>31</v>
      </c>
      <c r="C273" s="51">
        <v>42528</v>
      </c>
      <c r="D273" s="51">
        <v>46360</v>
      </c>
      <c r="E273" s="43" t="s">
        <v>84</v>
      </c>
      <c r="F273" s="17" t="s">
        <v>0</v>
      </c>
      <c r="G273" s="17"/>
      <c r="H273" s="30">
        <v>10000</v>
      </c>
      <c r="I273" s="30">
        <f>IF($J$34&gt;=D273,H273,(8837.8/2))</f>
        <v>4418.8999999999996</v>
      </c>
      <c r="J273" s="29">
        <f t="shared" si="22"/>
        <v>5581.1</v>
      </c>
      <c r="L273" s="56"/>
    </row>
    <row r="274" spans="2:12" x14ac:dyDescent="0.2">
      <c r="B274" s="20" t="s">
        <v>31</v>
      </c>
      <c r="C274" s="51">
        <v>42529</v>
      </c>
      <c r="D274" s="51">
        <v>46360</v>
      </c>
      <c r="E274" s="43" t="s">
        <v>84</v>
      </c>
      <c r="F274" s="17" t="s">
        <v>0</v>
      </c>
      <c r="G274" s="17"/>
      <c r="H274" s="30">
        <v>6000</v>
      </c>
      <c r="I274" s="30">
        <f>IF($J$34&gt;=D274,H274,(8837.8/2))</f>
        <v>4418.8999999999996</v>
      </c>
      <c r="J274" s="29">
        <f t="shared" si="22"/>
        <v>1581.1000000000004</v>
      </c>
      <c r="L274" s="56"/>
    </row>
    <row r="275" spans="2:12" x14ac:dyDescent="0.2">
      <c r="B275" s="20" t="s">
        <v>32</v>
      </c>
      <c r="C275" s="51">
        <v>42584</v>
      </c>
      <c r="D275" s="51">
        <v>47305</v>
      </c>
      <c r="E275" s="43" t="s">
        <v>80</v>
      </c>
      <c r="F275" s="17" t="s">
        <v>0</v>
      </c>
      <c r="G275" s="17"/>
      <c r="H275" s="30">
        <v>2000</v>
      </c>
      <c r="I275" s="30">
        <f>IF($J$34&gt;=D275,H275,0)</f>
        <v>0</v>
      </c>
      <c r="J275" s="29">
        <f t="shared" si="22"/>
        <v>2000</v>
      </c>
      <c r="L275" s="56"/>
    </row>
    <row r="276" spans="2:12" x14ac:dyDescent="0.2">
      <c r="B276" s="20" t="s">
        <v>32</v>
      </c>
      <c r="C276" s="51">
        <v>42585</v>
      </c>
      <c r="D276" s="51">
        <v>47305</v>
      </c>
      <c r="E276" s="43" t="s">
        <v>80</v>
      </c>
      <c r="F276" s="17" t="s">
        <v>0</v>
      </c>
      <c r="G276" s="17"/>
      <c r="H276" s="30">
        <v>5000</v>
      </c>
      <c r="I276" s="30">
        <f>IF($J$34&gt;=D276,H276,0)</f>
        <v>0</v>
      </c>
      <c r="J276" s="29">
        <f>H276-I276</f>
        <v>5000</v>
      </c>
      <c r="L276" s="56"/>
    </row>
    <row r="277" spans="2:12" x14ac:dyDescent="0.2">
      <c r="B277" s="20" t="s">
        <v>33</v>
      </c>
      <c r="C277" s="51">
        <v>42619</v>
      </c>
      <c r="D277" s="51">
        <v>44624</v>
      </c>
      <c r="E277" s="43" t="s">
        <v>81</v>
      </c>
      <c r="F277" s="17" t="s">
        <v>0</v>
      </c>
      <c r="G277" s="17"/>
      <c r="H277" s="30">
        <v>3500</v>
      </c>
      <c r="I277" s="30">
        <f>IF($J$34&gt;=D277,H277,(7294.5/4))</f>
        <v>3500</v>
      </c>
      <c r="J277" s="29">
        <f>H277-I277</f>
        <v>0</v>
      </c>
      <c r="L277" s="56"/>
    </row>
    <row r="278" spans="2:12" x14ac:dyDescent="0.2">
      <c r="B278" s="20" t="s">
        <v>58</v>
      </c>
      <c r="C278" s="51">
        <v>42675</v>
      </c>
      <c r="D278" s="51">
        <v>46423</v>
      </c>
      <c r="E278" s="43" t="s">
        <v>92</v>
      </c>
      <c r="F278" s="17" t="s">
        <v>0</v>
      </c>
      <c r="G278" s="17"/>
      <c r="H278" s="30">
        <v>3000</v>
      </c>
      <c r="I278" s="30">
        <f>IF($J$34&gt;=D278,H278,(13170/5))</f>
        <v>2634</v>
      </c>
      <c r="J278" s="29">
        <f>H278-I278</f>
        <v>366</v>
      </c>
      <c r="L278" s="56"/>
    </row>
    <row r="279" spans="2:12" x14ac:dyDescent="0.2">
      <c r="B279" s="20" t="s">
        <v>58</v>
      </c>
      <c r="C279" s="51">
        <v>42676</v>
      </c>
      <c r="D279" s="51">
        <v>46423</v>
      </c>
      <c r="E279" s="43" t="s">
        <v>92</v>
      </c>
      <c r="F279" s="17" t="s">
        <v>0</v>
      </c>
      <c r="G279" s="17"/>
      <c r="H279" s="30">
        <v>3500</v>
      </c>
      <c r="I279" s="30">
        <f>IF($J$34&gt;=D279,H279,(13170/5))</f>
        <v>2634</v>
      </c>
      <c r="J279" s="29">
        <f>H279-I279</f>
        <v>866</v>
      </c>
      <c r="L279" s="56"/>
    </row>
    <row r="280" spans="2:12" ht="13.5" thickBot="1" x14ac:dyDescent="0.25">
      <c r="B280" s="63"/>
      <c r="C280" s="63"/>
      <c r="D280" s="63"/>
      <c r="E280" s="63"/>
      <c r="F280" s="63"/>
      <c r="G280" s="63"/>
      <c r="H280" s="63"/>
      <c r="I280" s="63"/>
      <c r="J280" s="63"/>
      <c r="L280" s="56"/>
    </row>
    <row r="281" spans="2:12" x14ac:dyDescent="0.2">
      <c r="B281" s="20"/>
      <c r="C281" s="88"/>
      <c r="D281" s="89"/>
      <c r="E281" s="19"/>
      <c r="F281" s="17"/>
      <c r="G281" s="17"/>
      <c r="H281" s="30"/>
      <c r="I281" s="30"/>
      <c r="J281" s="29"/>
      <c r="L281" s="56"/>
    </row>
    <row r="282" spans="2:12" x14ac:dyDescent="0.2">
      <c r="B282" s="48" t="s">
        <v>56</v>
      </c>
      <c r="C282" s="11"/>
      <c r="D282" s="11"/>
      <c r="E282" s="11"/>
      <c r="F282" s="11"/>
      <c r="G282" s="12"/>
      <c r="H282" s="11"/>
      <c r="I282" s="11"/>
      <c r="J282" s="11"/>
    </row>
    <row r="283" spans="2:12" ht="13.5" thickBot="1" x14ac:dyDescent="0.25">
      <c r="B283" s="90"/>
      <c r="C283" s="90"/>
      <c r="D283" s="90"/>
      <c r="F283" s="58"/>
    </row>
    <row r="284" spans="2:12" ht="13.5" thickTop="1" x14ac:dyDescent="0.2"/>
    <row r="288" spans="2:12" ht="15" x14ac:dyDescent="0.25">
      <c r="B288" s="110" t="s">
        <v>85</v>
      </c>
      <c r="C288" s="110"/>
      <c r="D288" s="110"/>
      <c r="E288" s="110"/>
      <c r="F288" s="110"/>
      <c r="G288" s="110"/>
      <c r="H288" s="110"/>
      <c r="I288" s="110"/>
      <c r="J288" s="110"/>
    </row>
    <row r="289" spans="1:13" x14ac:dyDescent="0.2">
      <c r="B289" s="84"/>
      <c r="C289" s="84"/>
      <c r="D289" s="84"/>
      <c r="J289" s="47"/>
    </row>
    <row r="290" spans="1:13" x14ac:dyDescent="0.2">
      <c r="B290" s="111" t="s">
        <v>38</v>
      </c>
      <c r="C290" s="111"/>
      <c r="D290" s="111"/>
      <c r="E290" s="111"/>
      <c r="F290" s="111"/>
      <c r="G290" s="111"/>
      <c r="H290" s="111"/>
      <c r="I290" s="111"/>
      <c r="J290" s="111"/>
    </row>
    <row r="291" spans="1:13" ht="24.75" customHeight="1" x14ac:dyDescent="0.2">
      <c r="B291" s="112" t="s">
        <v>39</v>
      </c>
      <c r="C291" s="112" t="s">
        <v>40</v>
      </c>
      <c r="D291" s="112" t="s">
        <v>41</v>
      </c>
      <c r="E291" s="112" t="s">
        <v>42</v>
      </c>
      <c r="F291" s="112" t="s">
        <v>43</v>
      </c>
      <c r="G291" s="112" t="s">
        <v>44</v>
      </c>
      <c r="H291" s="112" t="s">
        <v>45</v>
      </c>
      <c r="I291" s="112" t="s">
        <v>46</v>
      </c>
      <c r="J291" s="94" t="s">
        <v>47</v>
      </c>
    </row>
    <row r="292" spans="1:13" x14ac:dyDescent="0.2">
      <c r="B292" s="113"/>
      <c r="C292" s="113"/>
      <c r="D292" s="113"/>
      <c r="E292" s="113"/>
      <c r="F292" s="113"/>
      <c r="G292" s="113"/>
      <c r="H292" s="113"/>
      <c r="I292" s="113"/>
      <c r="J292" s="95">
        <f>+J260</f>
        <v>45382</v>
      </c>
    </row>
    <row r="293" spans="1:13" x14ac:dyDescent="0.2">
      <c r="B293" s="2"/>
      <c r="C293" s="2"/>
      <c r="D293" s="2"/>
      <c r="E293" s="2"/>
      <c r="F293" s="2"/>
      <c r="G293" s="87"/>
      <c r="H293" s="2"/>
      <c r="I293" s="2"/>
      <c r="J293" s="10"/>
    </row>
    <row r="294" spans="1:13" ht="15.75" thickBot="1" x14ac:dyDescent="0.3">
      <c r="A294" s="22" t="s">
        <v>133</v>
      </c>
      <c r="B294" s="2"/>
      <c r="C294" s="2"/>
      <c r="D294" s="2"/>
      <c r="E294" s="13" t="s">
        <v>3</v>
      </c>
      <c r="F294" s="5"/>
      <c r="G294" s="14">
        <v>122888</v>
      </c>
      <c r="H294" s="14">
        <f>SUM(H295:H314)</f>
        <v>85000</v>
      </c>
      <c r="I294" s="14">
        <f>SUM(I295:I314)</f>
        <v>32902</v>
      </c>
      <c r="J294" s="14">
        <f>SUM(J295:J314)</f>
        <v>52098</v>
      </c>
    </row>
    <row r="295" spans="1:13" ht="13.5" thickTop="1" x14ac:dyDescent="0.2">
      <c r="B295" s="20" t="s">
        <v>58</v>
      </c>
      <c r="C295" s="51">
        <v>42773</v>
      </c>
      <c r="D295" s="51">
        <v>46423</v>
      </c>
      <c r="E295" s="43" t="s">
        <v>92</v>
      </c>
      <c r="F295" s="17" t="s">
        <v>0</v>
      </c>
      <c r="G295" s="17"/>
      <c r="H295" s="30">
        <v>2500</v>
      </c>
      <c r="I295" s="30">
        <f>IF($J$34&gt;=D295,H295,2500)</f>
        <v>2500</v>
      </c>
      <c r="J295" s="21">
        <f t="shared" ref="J295:J314" si="23">H295-I295</f>
        <v>0</v>
      </c>
    </row>
    <row r="296" spans="1:13" x14ac:dyDescent="0.2">
      <c r="B296" s="20" t="s">
        <v>58</v>
      </c>
      <c r="C296" s="51">
        <v>42774</v>
      </c>
      <c r="D296" s="51">
        <v>46423</v>
      </c>
      <c r="E296" s="43" t="s">
        <v>92</v>
      </c>
      <c r="F296" s="17" t="s">
        <v>0</v>
      </c>
      <c r="G296" s="17"/>
      <c r="H296" s="30">
        <v>3879.2</v>
      </c>
      <c r="I296" s="30">
        <f>IF($J$34&gt;=D296,H296,(13170/5))</f>
        <v>2634</v>
      </c>
      <c r="J296" s="29">
        <f t="shared" si="23"/>
        <v>1245.1999999999998</v>
      </c>
    </row>
    <row r="297" spans="1:13" x14ac:dyDescent="0.2">
      <c r="B297" s="20" t="s">
        <v>58</v>
      </c>
      <c r="C297" s="50">
        <v>42801</v>
      </c>
      <c r="D297" s="50">
        <v>46423</v>
      </c>
      <c r="E297" s="43" t="s">
        <v>92</v>
      </c>
      <c r="F297" s="17" t="s">
        <v>0</v>
      </c>
      <c r="G297" s="17"/>
      <c r="H297" s="30">
        <v>5000</v>
      </c>
      <c r="I297" s="30">
        <f>IF($J$34&gt;=D297,H297,(13170/5))</f>
        <v>2634</v>
      </c>
      <c r="J297" s="29">
        <f t="shared" si="23"/>
        <v>2366</v>
      </c>
    </row>
    <row r="298" spans="1:13" x14ac:dyDescent="0.2">
      <c r="B298" s="20" t="s">
        <v>58</v>
      </c>
      <c r="C298" s="50">
        <v>42802</v>
      </c>
      <c r="D298" s="50">
        <v>46423</v>
      </c>
      <c r="E298" s="43" t="s">
        <v>92</v>
      </c>
      <c r="F298" s="17" t="s">
        <v>0</v>
      </c>
      <c r="G298" s="17"/>
      <c r="H298" s="30">
        <v>7825.8</v>
      </c>
      <c r="I298" s="30">
        <f>IF($J$34&gt;=D298,H298,(13170/5))</f>
        <v>2634</v>
      </c>
      <c r="J298" s="29">
        <f t="shared" si="23"/>
        <v>5191.8</v>
      </c>
    </row>
    <row r="299" spans="1:13" x14ac:dyDescent="0.2">
      <c r="B299" s="20" t="s">
        <v>87</v>
      </c>
      <c r="C299" s="51">
        <v>42829</v>
      </c>
      <c r="D299" s="51">
        <v>45023</v>
      </c>
      <c r="E299" s="43" t="s">
        <v>89</v>
      </c>
      <c r="F299" s="17" t="s">
        <v>0</v>
      </c>
      <c r="G299" s="17"/>
      <c r="H299" s="30">
        <v>2500</v>
      </c>
      <c r="I299" s="30">
        <f>IF($J$34&gt;=D299,H299,(7485.1/11))</f>
        <v>2500</v>
      </c>
      <c r="J299" s="29">
        <f t="shared" si="23"/>
        <v>0</v>
      </c>
      <c r="M299" s="56"/>
    </row>
    <row r="300" spans="1:13" x14ac:dyDescent="0.2">
      <c r="B300" s="20" t="s">
        <v>88</v>
      </c>
      <c r="C300" s="51">
        <v>42829</v>
      </c>
      <c r="D300" s="51">
        <v>48278</v>
      </c>
      <c r="E300" s="43" t="s">
        <v>90</v>
      </c>
      <c r="F300" s="17" t="s">
        <v>0</v>
      </c>
      <c r="G300" s="17"/>
      <c r="H300" s="30">
        <v>4500</v>
      </c>
      <c r="I300" s="30">
        <f>IF($J$34&gt;=D300,H300,0)</f>
        <v>0</v>
      </c>
      <c r="J300" s="29">
        <f t="shared" si="23"/>
        <v>4500</v>
      </c>
      <c r="M300" s="56"/>
    </row>
    <row r="301" spans="1:13" x14ac:dyDescent="0.2">
      <c r="B301" s="20" t="s">
        <v>87</v>
      </c>
      <c r="C301" s="51">
        <v>42830</v>
      </c>
      <c r="D301" s="51">
        <v>45023</v>
      </c>
      <c r="E301" s="43" t="s">
        <v>89</v>
      </c>
      <c r="F301" s="17" t="s">
        <v>0</v>
      </c>
      <c r="G301" s="17"/>
      <c r="H301" s="30">
        <v>7500</v>
      </c>
      <c r="I301" s="30">
        <f>IF($J$34&gt;=D301,H301,(7485.1/11))</f>
        <v>7500</v>
      </c>
      <c r="J301" s="29">
        <f t="shared" si="23"/>
        <v>0</v>
      </c>
    </row>
    <row r="302" spans="1:13" x14ac:dyDescent="0.2">
      <c r="B302" s="20" t="s">
        <v>88</v>
      </c>
      <c r="C302" s="51">
        <v>42830</v>
      </c>
      <c r="D302" s="51">
        <v>48278</v>
      </c>
      <c r="E302" s="43" t="s">
        <v>90</v>
      </c>
      <c r="F302" s="17" t="s">
        <v>0</v>
      </c>
      <c r="G302" s="17"/>
      <c r="H302" s="30">
        <v>5500</v>
      </c>
      <c r="I302" s="30">
        <f>IF($J$34&gt;=D302,H302,0)</f>
        <v>0</v>
      </c>
      <c r="J302" s="29">
        <f t="shared" si="23"/>
        <v>5500</v>
      </c>
    </row>
    <row r="303" spans="1:13" ht="14.25" x14ac:dyDescent="0.2">
      <c r="B303" s="20" t="s">
        <v>88</v>
      </c>
      <c r="C303" s="51">
        <v>42857</v>
      </c>
      <c r="D303" s="51">
        <v>48278</v>
      </c>
      <c r="E303" s="43" t="s">
        <v>90</v>
      </c>
      <c r="F303" s="17" t="s">
        <v>0</v>
      </c>
      <c r="G303" s="17"/>
      <c r="H303" s="30">
        <v>6500</v>
      </c>
      <c r="I303" s="30">
        <f>IF($J$34&gt;=D303,H303,0)</f>
        <v>0</v>
      </c>
      <c r="J303" s="29">
        <f t="shared" si="23"/>
        <v>6500</v>
      </c>
      <c r="L303" s="92"/>
      <c r="M303" s="56"/>
    </row>
    <row r="304" spans="1:13" ht="14.25" x14ac:dyDescent="0.2">
      <c r="B304" s="20" t="s">
        <v>88</v>
      </c>
      <c r="C304" s="51">
        <v>42858</v>
      </c>
      <c r="D304" s="51">
        <v>48278</v>
      </c>
      <c r="E304" s="43" t="s">
        <v>90</v>
      </c>
      <c r="F304" s="17" t="s">
        <v>0</v>
      </c>
      <c r="G304" s="17"/>
      <c r="H304" s="30">
        <v>8873</v>
      </c>
      <c r="I304" s="30">
        <f>IF($J$34&gt;=D304,H304,0)</f>
        <v>0</v>
      </c>
      <c r="J304" s="29">
        <f t="shared" si="23"/>
        <v>8873</v>
      </c>
      <c r="L304" s="92"/>
      <c r="M304" s="56"/>
    </row>
    <row r="305" spans="2:13" ht="14.25" x14ac:dyDescent="0.2">
      <c r="B305" s="20" t="s">
        <v>87</v>
      </c>
      <c r="C305" s="51">
        <v>42892</v>
      </c>
      <c r="D305" s="51">
        <v>45023</v>
      </c>
      <c r="E305" s="43" t="s">
        <v>91</v>
      </c>
      <c r="F305" s="17" t="s">
        <v>0</v>
      </c>
      <c r="G305" s="17"/>
      <c r="H305" s="30">
        <v>2000</v>
      </c>
      <c r="I305" s="30">
        <f>IF($J$34&gt;=D305,H305,(7485.1/11))</f>
        <v>2000</v>
      </c>
      <c r="J305" s="29">
        <f t="shared" si="23"/>
        <v>0</v>
      </c>
      <c r="L305" s="92"/>
      <c r="M305" s="56"/>
    </row>
    <row r="306" spans="2:13" ht="14.25" x14ac:dyDescent="0.2">
      <c r="B306" s="20" t="s">
        <v>87</v>
      </c>
      <c r="C306" s="51">
        <v>42893</v>
      </c>
      <c r="D306" s="51">
        <v>45023</v>
      </c>
      <c r="E306" s="43" t="s">
        <v>91</v>
      </c>
      <c r="F306" s="17" t="s">
        <v>0</v>
      </c>
      <c r="G306" s="17"/>
      <c r="H306" s="30">
        <v>500</v>
      </c>
      <c r="I306" s="30">
        <f>IF($J$34&gt;=D306,H306,500)</f>
        <v>500</v>
      </c>
      <c r="J306" s="29">
        <f t="shared" si="23"/>
        <v>0</v>
      </c>
      <c r="L306" s="92"/>
      <c r="M306" s="56"/>
    </row>
    <row r="307" spans="2:13" ht="14.25" x14ac:dyDescent="0.2">
      <c r="B307" s="20" t="s">
        <v>88</v>
      </c>
      <c r="C307" s="51">
        <v>42948</v>
      </c>
      <c r="D307" s="51">
        <v>48278</v>
      </c>
      <c r="E307" s="43" t="s">
        <v>90</v>
      </c>
      <c r="F307" s="17" t="s">
        <v>0</v>
      </c>
      <c r="G307" s="17"/>
      <c r="H307" s="30">
        <v>3000</v>
      </c>
      <c r="I307" s="30">
        <f>IF($J$34&gt;=D307,H307,0)</f>
        <v>0</v>
      </c>
      <c r="J307" s="29">
        <f t="shared" si="23"/>
        <v>3000</v>
      </c>
      <c r="L307" s="92"/>
      <c r="M307" s="56"/>
    </row>
    <row r="308" spans="2:13" ht="14.25" x14ac:dyDescent="0.2">
      <c r="B308" s="20" t="s">
        <v>88</v>
      </c>
      <c r="C308" s="51">
        <v>42949</v>
      </c>
      <c r="D308" s="51">
        <v>48278</v>
      </c>
      <c r="E308" s="43" t="s">
        <v>90</v>
      </c>
      <c r="F308" s="17" t="s">
        <v>0</v>
      </c>
      <c r="G308" s="17"/>
      <c r="H308" s="30">
        <v>4922</v>
      </c>
      <c r="I308" s="30">
        <f>IF($J$34&gt;=D308,H308,0)</f>
        <v>0</v>
      </c>
      <c r="J308" s="29">
        <f t="shared" si="23"/>
        <v>4922</v>
      </c>
      <c r="L308" s="92"/>
      <c r="M308" s="56"/>
    </row>
    <row r="309" spans="2:13" ht="14.25" x14ac:dyDescent="0.2">
      <c r="B309" s="20" t="s">
        <v>87</v>
      </c>
      <c r="C309" s="51">
        <v>42983</v>
      </c>
      <c r="D309" s="51">
        <v>45023</v>
      </c>
      <c r="E309" s="43" t="s">
        <v>89</v>
      </c>
      <c r="F309" s="17" t="s">
        <v>0</v>
      </c>
      <c r="G309" s="17"/>
      <c r="H309" s="30">
        <v>4000</v>
      </c>
      <c r="I309" s="30">
        <f>IF($J$34&gt;=D309,H309,(7485.1/11))</f>
        <v>4000</v>
      </c>
      <c r="J309" s="29">
        <f t="shared" si="23"/>
        <v>0</v>
      </c>
      <c r="L309" s="92"/>
      <c r="M309" s="56"/>
    </row>
    <row r="310" spans="2:13" ht="14.25" x14ac:dyDescent="0.2">
      <c r="B310" s="20" t="s">
        <v>87</v>
      </c>
      <c r="C310" s="51">
        <v>42984</v>
      </c>
      <c r="D310" s="51">
        <v>45023</v>
      </c>
      <c r="E310" s="43" t="s">
        <v>89</v>
      </c>
      <c r="F310" s="17" t="s">
        <v>0</v>
      </c>
      <c r="G310" s="17"/>
      <c r="H310" s="30">
        <v>1818.8</v>
      </c>
      <c r="I310" s="30">
        <f>IF($J$34&gt;=D310,H310,(7485.1/11))</f>
        <v>1818.8</v>
      </c>
      <c r="J310" s="29">
        <f t="shared" si="23"/>
        <v>0</v>
      </c>
      <c r="L310" s="92"/>
      <c r="M310" s="56"/>
    </row>
    <row r="311" spans="2:13" ht="14.25" x14ac:dyDescent="0.2">
      <c r="B311" s="20" t="s">
        <v>87</v>
      </c>
      <c r="C311" s="51">
        <v>43011</v>
      </c>
      <c r="D311" s="51">
        <v>45023</v>
      </c>
      <c r="E311" s="43" t="s">
        <v>89</v>
      </c>
      <c r="F311" s="17" t="s">
        <v>0</v>
      </c>
      <c r="G311" s="17"/>
      <c r="H311" s="30">
        <v>3500</v>
      </c>
      <c r="I311" s="30">
        <f>IF($J$34&gt;=D311,H311,(7485.1/11))</f>
        <v>3500</v>
      </c>
      <c r="J311" s="29">
        <f t="shared" si="23"/>
        <v>0</v>
      </c>
      <c r="L311" s="92"/>
      <c r="M311" s="56"/>
    </row>
    <row r="312" spans="2:13" ht="14.25" x14ac:dyDescent="0.2">
      <c r="B312" s="20" t="s">
        <v>87</v>
      </c>
      <c r="C312" s="51">
        <v>43012</v>
      </c>
      <c r="D312" s="51">
        <v>45023</v>
      </c>
      <c r="E312" s="43" t="s">
        <v>89</v>
      </c>
      <c r="F312" s="17" t="s">
        <v>0</v>
      </c>
      <c r="G312" s="17"/>
      <c r="H312" s="30">
        <v>681.2</v>
      </c>
      <c r="I312" s="30">
        <f>IF($J$34&gt;=D312,H312,681.2)</f>
        <v>681.2</v>
      </c>
      <c r="J312" s="29">
        <f t="shared" si="23"/>
        <v>0</v>
      </c>
      <c r="L312" s="92"/>
      <c r="M312" s="56"/>
    </row>
    <row r="313" spans="2:13" ht="14.25" x14ac:dyDescent="0.2">
      <c r="B313" s="20" t="s">
        <v>88</v>
      </c>
      <c r="C313" s="51">
        <v>43081</v>
      </c>
      <c r="D313" s="51">
        <v>48278</v>
      </c>
      <c r="E313" s="43" t="s">
        <v>90</v>
      </c>
      <c r="F313" s="17" t="s">
        <v>0</v>
      </c>
      <c r="G313" s="17"/>
      <c r="H313" s="30">
        <v>7500</v>
      </c>
      <c r="I313" s="30">
        <f t="shared" ref="I313" si="24">IF($J$34&gt;=D313,H313,0)</f>
        <v>0</v>
      </c>
      <c r="J313" s="29">
        <f t="shared" si="23"/>
        <v>7500</v>
      </c>
      <c r="L313" s="92"/>
      <c r="M313" s="56"/>
    </row>
    <row r="314" spans="2:13" ht="14.25" x14ac:dyDescent="0.2">
      <c r="B314" s="20" t="s">
        <v>88</v>
      </c>
      <c r="C314" s="51">
        <v>43082</v>
      </c>
      <c r="D314" s="51">
        <v>48278</v>
      </c>
      <c r="E314" s="43" t="s">
        <v>90</v>
      </c>
      <c r="F314" s="17" t="s">
        <v>0</v>
      </c>
      <c r="G314" s="17"/>
      <c r="H314" s="30">
        <v>2500</v>
      </c>
      <c r="I314" s="30">
        <f>IF($J$34&gt;=D314,H314,0)</f>
        <v>0</v>
      </c>
      <c r="J314" s="29">
        <f t="shared" si="23"/>
        <v>2500</v>
      </c>
      <c r="L314" s="92"/>
      <c r="M314" s="56"/>
    </row>
    <row r="315" spans="2:13" ht="13.5" thickBot="1" x14ac:dyDescent="0.25">
      <c r="B315" s="63"/>
      <c r="C315" s="63"/>
      <c r="D315" s="63"/>
      <c r="E315" s="63"/>
      <c r="F315" s="63"/>
      <c r="G315" s="63"/>
      <c r="H315" s="63"/>
      <c r="I315" s="63"/>
      <c r="J315" s="63"/>
    </row>
    <row r="316" spans="2:13" x14ac:dyDescent="0.2">
      <c r="B316" s="75"/>
      <c r="C316" s="75"/>
      <c r="D316" s="75"/>
      <c r="E316" s="75"/>
      <c r="F316" s="75"/>
      <c r="G316" s="75"/>
      <c r="H316" s="75"/>
      <c r="I316" s="75"/>
      <c r="J316" s="75"/>
    </row>
    <row r="317" spans="2:13" x14ac:dyDescent="0.2">
      <c r="B317" s="48" t="s">
        <v>56</v>
      </c>
      <c r="C317" s="11"/>
      <c r="D317" s="11"/>
      <c r="E317" s="11"/>
      <c r="F317" s="11"/>
      <c r="G317" s="12"/>
      <c r="H317" s="11"/>
      <c r="I317" s="11"/>
      <c r="J317" s="11"/>
    </row>
    <row r="318" spans="2:13" ht="13.5" thickBot="1" x14ac:dyDescent="0.25">
      <c r="B318" s="90"/>
      <c r="C318" s="90"/>
      <c r="D318" s="90"/>
      <c r="F318" s="58"/>
    </row>
    <row r="319" spans="2:13" ht="13.5" thickTop="1" x14ac:dyDescent="0.2"/>
    <row r="323" spans="1:10" ht="15" x14ac:dyDescent="0.25">
      <c r="B323" s="110" t="s">
        <v>93</v>
      </c>
      <c r="C323" s="110"/>
      <c r="D323" s="110"/>
      <c r="E323" s="110"/>
      <c r="F323" s="110"/>
      <c r="G323" s="110"/>
      <c r="H323" s="110"/>
      <c r="I323" s="110"/>
      <c r="J323" s="110"/>
    </row>
    <row r="324" spans="1:10" x14ac:dyDescent="0.2">
      <c r="B324" s="84"/>
      <c r="C324" s="84"/>
      <c r="D324" s="84"/>
      <c r="J324" s="47"/>
    </row>
    <row r="325" spans="1:10" x14ac:dyDescent="0.2">
      <c r="B325" s="111" t="s">
        <v>38</v>
      </c>
      <c r="C325" s="111"/>
      <c r="D325" s="111"/>
      <c r="E325" s="111"/>
      <c r="F325" s="111"/>
      <c r="G325" s="111"/>
      <c r="H325" s="111"/>
      <c r="I325" s="111"/>
      <c r="J325" s="111"/>
    </row>
    <row r="326" spans="1:10" ht="26.25" customHeight="1" x14ac:dyDescent="0.2">
      <c r="B326" s="112" t="s">
        <v>39</v>
      </c>
      <c r="C326" s="112" t="s">
        <v>40</v>
      </c>
      <c r="D326" s="112" t="s">
        <v>41</v>
      </c>
      <c r="E326" s="112" t="s">
        <v>42</v>
      </c>
      <c r="F326" s="112" t="s">
        <v>43</v>
      </c>
      <c r="G326" s="112" t="s">
        <v>44</v>
      </c>
      <c r="H326" s="112" t="s">
        <v>45</v>
      </c>
      <c r="I326" s="112" t="s">
        <v>46</v>
      </c>
      <c r="J326" s="94" t="s">
        <v>47</v>
      </c>
    </row>
    <row r="327" spans="1:10" x14ac:dyDescent="0.2">
      <c r="B327" s="113"/>
      <c r="C327" s="113"/>
      <c r="D327" s="113"/>
      <c r="E327" s="113"/>
      <c r="F327" s="113"/>
      <c r="G327" s="113"/>
      <c r="H327" s="113"/>
      <c r="I327" s="113"/>
      <c r="J327" s="95">
        <f>J292</f>
        <v>45382</v>
      </c>
    </row>
    <row r="328" spans="1:10" x14ac:dyDescent="0.2">
      <c r="B328" s="2"/>
      <c r="C328" s="2"/>
      <c r="D328" s="2"/>
      <c r="E328" s="2"/>
      <c r="F328" s="2"/>
      <c r="G328" s="87"/>
      <c r="H328" s="2"/>
      <c r="I328" s="2"/>
      <c r="J328" s="10"/>
    </row>
    <row r="329" spans="1:10" ht="15.75" thickBot="1" x14ac:dyDescent="0.3">
      <c r="A329" s="22" t="s">
        <v>133</v>
      </c>
      <c r="B329" s="2"/>
      <c r="C329" s="2"/>
      <c r="D329" s="2"/>
      <c r="E329" s="13" t="s">
        <v>3</v>
      </c>
      <c r="F329" s="5"/>
      <c r="G329" s="14">
        <v>175357</v>
      </c>
      <c r="H329" s="14">
        <f>SUM(H330:H338)</f>
        <v>28520.999999999967</v>
      </c>
      <c r="I329" s="14">
        <f>SUM(I330:I338)</f>
        <v>11371.29999999997</v>
      </c>
      <c r="J329" s="14">
        <f>SUM(J330:J338)</f>
        <v>17149.7</v>
      </c>
    </row>
    <row r="330" spans="1:10" ht="13.5" thickTop="1" x14ac:dyDescent="0.2">
      <c r="B330" s="20" t="s">
        <v>88</v>
      </c>
      <c r="C330" s="51">
        <v>42745</v>
      </c>
      <c r="D330" s="51">
        <v>48278</v>
      </c>
      <c r="E330" s="43" t="s">
        <v>90</v>
      </c>
      <c r="F330" s="17" t="s">
        <v>0</v>
      </c>
      <c r="G330" s="17"/>
      <c r="H330" s="30">
        <v>7149.7</v>
      </c>
      <c r="I330" s="30">
        <f>IF($J$34&gt;=D330,H330,0)</f>
        <v>0</v>
      </c>
      <c r="J330" s="29">
        <f t="shared" ref="J330:J338" si="25">H330-I330</f>
        <v>7149.7</v>
      </c>
    </row>
    <row r="331" spans="1:10" x14ac:dyDescent="0.2">
      <c r="B331" s="20" t="s">
        <v>58</v>
      </c>
      <c r="C331" s="51">
        <v>43137</v>
      </c>
      <c r="D331" s="51">
        <v>46423</v>
      </c>
      <c r="E331" s="43" t="s">
        <v>92</v>
      </c>
      <c r="F331" s="17" t="s">
        <v>0</v>
      </c>
      <c r="G331" s="17"/>
      <c r="H331" s="30">
        <v>2000</v>
      </c>
      <c r="I331" s="30">
        <f>IF($J$34&gt;=D331,H331,2000)</f>
        <v>2000</v>
      </c>
      <c r="J331" s="29">
        <f t="shared" si="25"/>
        <v>0</v>
      </c>
    </row>
    <row r="332" spans="1:10" x14ac:dyDescent="0.2">
      <c r="B332" s="20" t="s">
        <v>95</v>
      </c>
      <c r="C332" s="51">
        <v>43319</v>
      </c>
      <c r="D332" s="51">
        <v>46976</v>
      </c>
      <c r="E332" s="43" t="s">
        <v>97</v>
      </c>
      <c r="F332" s="17" t="s">
        <v>0</v>
      </c>
      <c r="G332" s="17"/>
      <c r="H332" s="30">
        <v>2000</v>
      </c>
      <c r="I332" s="30">
        <f>IF($J$34&gt;=D332,H332,0)</f>
        <v>0</v>
      </c>
      <c r="J332" s="29">
        <f t="shared" si="25"/>
        <v>2000</v>
      </c>
    </row>
    <row r="333" spans="1:10" x14ac:dyDescent="0.2">
      <c r="B333" s="20" t="s">
        <v>95</v>
      </c>
      <c r="C333" s="51">
        <v>43320</v>
      </c>
      <c r="D333" s="51">
        <v>46976</v>
      </c>
      <c r="E333" s="43" t="s">
        <v>97</v>
      </c>
      <c r="F333" s="17" t="s">
        <v>0</v>
      </c>
      <c r="G333" s="17"/>
      <c r="H333" s="30">
        <v>8000</v>
      </c>
      <c r="I333" s="30">
        <f>IF($J$34&gt;=D333,H333,0)</f>
        <v>0</v>
      </c>
      <c r="J333" s="29">
        <f t="shared" si="25"/>
        <v>8000</v>
      </c>
    </row>
    <row r="334" spans="1:10" x14ac:dyDescent="0.2">
      <c r="B334" s="20" t="s">
        <v>96</v>
      </c>
      <c r="C334" s="51">
        <v>43321</v>
      </c>
      <c r="D334" s="51">
        <v>45023</v>
      </c>
      <c r="E334" s="43" t="s">
        <v>89</v>
      </c>
      <c r="F334" s="17" t="s">
        <v>0</v>
      </c>
      <c r="G334" s="17"/>
      <c r="H334" s="30">
        <v>1268.8999999999701</v>
      </c>
      <c r="I334" s="30">
        <f>IF($J$34&gt;=D334,H334,(7485.1/11))</f>
        <v>1268.8999999999701</v>
      </c>
      <c r="J334" s="29">
        <f t="shared" si="25"/>
        <v>0</v>
      </c>
    </row>
    <row r="335" spans="1:10" x14ac:dyDescent="0.2">
      <c r="B335" s="20" t="s">
        <v>96</v>
      </c>
      <c r="C335" s="51">
        <v>43382</v>
      </c>
      <c r="D335" s="51">
        <v>45023</v>
      </c>
      <c r="E335" s="43" t="s">
        <v>89</v>
      </c>
      <c r="F335" s="17" t="s">
        <v>0</v>
      </c>
      <c r="G335" s="17"/>
      <c r="H335" s="30">
        <v>2009.8</v>
      </c>
      <c r="I335" s="30">
        <f>IF($J$34&gt;=D335,H335,(7485.1/11))</f>
        <v>2009.8</v>
      </c>
      <c r="J335" s="29">
        <f t="shared" si="25"/>
        <v>0</v>
      </c>
    </row>
    <row r="336" spans="1:10" x14ac:dyDescent="0.2">
      <c r="B336" s="20" t="s">
        <v>96</v>
      </c>
      <c r="C336" s="51">
        <v>43383</v>
      </c>
      <c r="D336" s="51">
        <v>45023</v>
      </c>
      <c r="E336" s="43" t="s">
        <v>89</v>
      </c>
      <c r="F336" s="17" t="s">
        <v>0</v>
      </c>
      <c r="G336" s="17"/>
      <c r="H336" s="30">
        <v>1492.6</v>
      </c>
      <c r="I336" s="30">
        <f>IF($J$34&gt;=D336,H336,(7485.1/11))</f>
        <v>1492.6</v>
      </c>
      <c r="J336" s="29">
        <f t="shared" si="25"/>
        <v>0</v>
      </c>
    </row>
    <row r="337" spans="2:10" x14ac:dyDescent="0.2">
      <c r="B337" s="20" t="s">
        <v>96</v>
      </c>
      <c r="C337" s="51">
        <v>43413</v>
      </c>
      <c r="D337" s="51">
        <v>45023</v>
      </c>
      <c r="E337" s="43" t="s">
        <v>89</v>
      </c>
      <c r="F337" s="17" t="s">
        <v>0</v>
      </c>
      <c r="G337" s="17"/>
      <c r="H337" s="30">
        <v>2000</v>
      </c>
      <c r="I337" s="30">
        <f>IF($J$34&gt;=D337,H337,(7485.1/11))</f>
        <v>2000</v>
      </c>
      <c r="J337" s="29">
        <f t="shared" si="25"/>
        <v>0</v>
      </c>
    </row>
    <row r="338" spans="2:10" x14ac:dyDescent="0.2">
      <c r="B338" s="20" t="s">
        <v>96</v>
      </c>
      <c r="C338" s="51">
        <v>43413</v>
      </c>
      <c r="D338" s="51">
        <v>45023</v>
      </c>
      <c r="E338" s="43" t="s">
        <v>89</v>
      </c>
      <c r="F338" s="17" t="s">
        <v>0</v>
      </c>
      <c r="G338" s="17"/>
      <c r="H338" s="30">
        <v>2600</v>
      </c>
      <c r="I338" s="30">
        <f>IF($J$34&gt;=D338,H338,(7485.1/11))</f>
        <v>2600</v>
      </c>
      <c r="J338" s="29">
        <f t="shared" si="25"/>
        <v>0</v>
      </c>
    </row>
    <row r="339" spans="2:10" ht="13.5" thickBot="1" x14ac:dyDescent="0.25">
      <c r="B339" s="63"/>
      <c r="C339" s="63"/>
      <c r="D339" s="63"/>
      <c r="E339" s="63"/>
      <c r="F339" s="63"/>
      <c r="G339" s="63"/>
      <c r="H339" s="63"/>
      <c r="I339" s="63"/>
      <c r="J339" s="63"/>
    </row>
    <row r="340" spans="2:10" x14ac:dyDescent="0.2">
      <c r="B340" s="75"/>
      <c r="C340" s="75"/>
      <c r="D340" s="75"/>
      <c r="E340" s="75"/>
      <c r="F340" s="75"/>
      <c r="G340" s="75"/>
      <c r="H340" s="75"/>
      <c r="I340" s="75"/>
      <c r="J340" s="75"/>
    </row>
    <row r="341" spans="2:10" x14ac:dyDescent="0.2">
      <c r="B341" s="48" t="s">
        <v>56</v>
      </c>
      <c r="C341" s="11"/>
      <c r="D341" s="11"/>
      <c r="E341" s="11"/>
      <c r="F341" s="11"/>
      <c r="G341" s="12"/>
      <c r="H341" s="11"/>
      <c r="I341" s="11"/>
      <c r="J341" s="11"/>
    </row>
    <row r="342" spans="2:10" ht="13.5" thickBot="1" x14ac:dyDescent="0.25">
      <c r="B342" s="90"/>
      <c r="C342" s="90"/>
      <c r="D342" s="90"/>
      <c r="F342" s="58"/>
    </row>
    <row r="343" spans="2:10" ht="13.5" thickTop="1" x14ac:dyDescent="0.2"/>
    <row r="348" spans="2:10" ht="15" x14ac:dyDescent="0.25">
      <c r="B348" s="110" t="s">
        <v>98</v>
      </c>
      <c r="C348" s="110"/>
      <c r="D348" s="110"/>
      <c r="E348" s="110"/>
      <c r="F348" s="110"/>
      <c r="G348" s="110"/>
      <c r="H348" s="110"/>
      <c r="I348" s="110"/>
      <c r="J348" s="110"/>
    </row>
    <row r="349" spans="2:10" x14ac:dyDescent="0.2">
      <c r="B349" s="84"/>
      <c r="C349" s="84"/>
      <c r="D349" s="84"/>
      <c r="J349" s="47"/>
    </row>
    <row r="350" spans="2:10" x14ac:dyDescent="0.2">
      <c r="B350" s="111" t="s">
        <v>38</v>
      </c>
      <c r="C350" s="111"/>
      <c r="D350" s="111"/>
      <c r="E350" s="111"/>
      <c r="F350" s="111"/>
      <c r="G350" s="111"/>
      <c r="H350" s="111"/>
      <c r="I350" s="111"/>
      <c r="J350" s="111"/>
    </row>
    <row r="351" spans="2:10" ht="27" customHeight="1" x14ac:dyDescent="0.2">
      <c r="B351" s="112" t="s">
        <v>39</v>
      </c>
      <c r="C351" s="112" t="s">
        <v>40</v>
      </c>
      <c r="D351" s="112" t="s">
        <v>41</v>
      </c>
      <c r="E351" s="112" t="s">
        <v>42</v>
      </c>
      <c r="F351" s="112" t="s">
        <v>43</v>
      </c>
      <c r="G351" s="112" t="s">
        <v>44</v>
      </c>
      <c r="H351" s="112" t="s">
        <v>45</v>
      </c>
      <c r="I351" s="112" t="s">
        <v>46</v>
      </c>
      <c r="J351" s="94" t="s">
        <v>47</v>
      </c>
    </row>
    <row r="352" spans="2:10" x14ac:dyDescent="0.2">
      <c r="B352" s="113"/>
      <c r="C352" s="113"/>
      <c r="D352" s="113"/>
      <c r="E352" s="113"/>
      <c r="F352" s="113"/>
      <c r="G352" s="113"/>
      <c r="H352" s="113"/>
      <c r="I352" s="113"/>
      <c r="J352" s="95">
        <f>J327</f>
        <v>45382</v>
      </c>
    </row>
    <row r="353" spans="1:10" x14ac:dyDescent="0.2">
      <c r="B353" s="2"/>
      <c r="C353" s="2"/>
      <c r="D353" s="2"/>
      <c r="E353" s="2"/>
      <c r="F353" s="2"/>
      <c r="G353" s="87"/>
      <c r="H353" s="2"/>
      <c r="I353" s="2"/>
      <c r="J353" s="10"/>
    </row>
    <row r="354" spans="1:10" ht="15.75" thickBot="1" x14ac:dyDescent="0.3">
      <c r="A354" s="22" t="s">
        <v>133</v>
      </c>
      <c r="B354" s="2"/>
      <c r="C354" s="2"/>
      <c r="D354" s="2"/>
      <c r="E354" s="13" t="s">
        <v>3</v>
      </c>
      <c r="F354" s="5"/>
      <c r="G354" s="14">
        <v>190090.39</v>
      </c>
      <c r="H354" s="14">
        <f>SUM(H355:H377)</f>
        <v>87375.9</v>
      </c>
      <c r="I354" s="14">
        <f>SUM(I355:I377)</f>
        <v>10900</v>
      </c>
      <c r="J354" s="14">
        <f>SUM(J355:J377)</f>
        <v>76475.899999999994</v>
      </c>
    </row>
    <row r="355" spans="1:10" ht="13.5" thickTop="1" x14ac:dyDescent="0.2">
      <c r="B355" s="20" t="s">
        <v>99</v>
      </c>
      <c r="C355" s="93">
        <v>43473</v>
      </c>
      <c r="D355" s="93">
        <v>45302</v>
      </c>
      <c r="E355" s="43" t="s">
        <v>101</v>
      </c>
      <c r="F355" s="17" t="s">
        <v>0</v>
      </c>
      <c r="G355" s="17"/>
      <c r="H355" s="30">
        <v>1500</v>
      </c>
      <c r="I355" s="30">
        <f>IF($J$34&gt;=D355,H355,(2357.7/4))</f>
        <v>1500</v>
      </c>
      <c r="J355" s="29">
        <f>H355-I355</f>
        <v>0</v>
      </c>
    </row>
    <row r="356" spans="1:10" x14ac:dyDescent="0.2">
      <c r="B356" s="20" t="s">
        <v>100</v>
      </c>
      <c r="C356" s="93">
        <v>43473</v>
      </c>
      <c r="D356" s="93">
        <v>48955</v>
      </c>
      <c r="E356" s="43" t="s">
        <v>79</v>
      </c>
      <c r="F356" s="17" t="s">
        <v>0</v>
      </c>
      <c r="G356" s="17"/>
      <c r="H356" s="30">
        <v>3500</v>
      </c>
      <c r="I356" s="30">
        <f>IF($J$34&gt;=D356,H356,0)</f>
        <v>0</v>
      </c>
      <c r="J356" s="29">
        <f t="shared" ref="J356:J377" si="26">H356-I356</f>
        <v>3500</v>
      </c>
    </row>
    <row r="357" spans="1:10" x14ac:dyDescent="0.2">
      <c r="B357" s="20" t="s">
        <v>99</v>
      </c>
      <c r="C357" s="93">
        <v>43474</v>
      </c>
      <c r="D357" s="93">
        <v>45302</v>
      </c>
      <c r="E357" s="43" t="s">
        <v>101</v>
      </c>
      <c r="F357" s="17" t="s">
        <v>0</v>
      </c>
      <c r="G357" s="17"/>
      <c r="H357" s="30">
        <v>1485.4</v>
      </c>
      <c r="I357" s="30">
        <f>IF($J$34&gt;=D357,H357,(2357.7/4))</f>
        <v>1485.4</v>
      </c>
      <c r="J357" s="29">
        <f t="shared" si="26"/>
        <v>0</v>
      </c>
    </row>
    <row r="358" spans="1:10" x14ac:dyDescent="0.2">
      <c r="B358" s="20" t="s">
        <v>100</v>
      </c>
      <c r="C358" s="93">
        <v>43474</v>
      </c>
      <c r="D358" s="93">
        <v>48955</v>
      </c>
      <c r="E358" s="43" t="s">
        <v>79</v>
      </c>
      <c r="F358" s="17" t="s">
        <v>0</v>
      </c>
      <c r="G358" s="17"/>
      <c r="H358" s="30">
        <v>17022.3</v>
      </c>
      <c r="I358" s="30">
        <f>IF($J$34&gt;=D358,H358,0)</f>
        <v>0</v>
      </c>
      <c r="J358" s="29">
        <f t="shared" si="26"/>
        <v>17022.3</v>
      </c>
    </row>
    <row r="359" spans="1:10" x14ac:dyDescent="0.2">
      <c r="B359" s="20" t="s">
        <v>99</v>
      </c>
      <c r="C359" s="93">
        <v>43501</v>
      </c>
      <c r="D359" s="93">
        <v>45302</v>
      </c>
      <c r="E359" s="43" t="s">
        <v>101</v>
      </c>
      <c r="F359" s="17" t="s">
        <v>0</v>
      </c>
      <c r="G359" s="17"/>
      <c r="H359" s="30">
        <v>1000</v>
      </c>
      <c r="I359" s="30">
        <f>IF($J$34&gt;=D359,H359,(2357.7/4))</f>
        <v>1000</v>
      </c>
      <c r="J359" s="29">
        <f t="shared" si="26"/>
        <v>0</v>
      </c>
    </row>
    <row r="360" spans="1:10" x14ac:dyDescent="0.2">
      <c r="B360" s="20" t="s">
        <v>100</v>
      </c>
      <c r="C360" s="93">
        <v>43501</v>
      </c>
      <c r="D360" s="93">
        <v>48955</v>
      </c>
      <c r="E360" s="43" t="s">
        <v>79</v>
      </c>
      <c r="F360" s="17" t="s">
        <v>0</v>
      </c>
      <c r="G360" s="17"/>
      <c r="H360" s="30">
        <v>4000</v>
      </c>
      <c r="I360" s="30">
        <f>IF($J$34&gt;=D360,H360,0)</f>
        <v>0</v>
      </c>
      <c r="J360" s="29">
        <f t="shared" si="26"/>
        <v>4000</v>
      </c>
    </row>
    <row r="361" spans="1:10" x14ac:dyDescent="0.2">
      <c r="B361" s="20" t="s">
        <v>99</v>
      </c>
      <c r="C361" s="93">
        <v>43502</v>
      </c>
      <c r="D361" s="93">
        <v>45302</v>
      </c>
      <c r="E361" s="43" t="s">
        <v>101</v>
      </c>
      <c r="F361" s="17" t="s">
        <v>0</v>
      </c>
      <c r="G361" s="17"/>
      <c r="H361" s="30">
        <v>6296.6</v>
      </c>
      <c r="I361" s="30">
        <f>IF($J$34&gt;=D361,H361,(2357.7/4))</f>
        <v>6296.6</v>
      </c>
      <c r="J361" s="29">
        <f t="shared" si="26"/>
        <v>0</v>
      </c>
    </row>
    <row r="362" spans="1:10" x14ac:dyDescent="0.2">
      <c r="B362" s="20" t="s">
        <v>100</v>
      </c>
      <c r="C362" s="93">
        <v>43502</v>
      </c>
      <c r="D362" s="93">
        <v>48955</v>
      </c>
      <c r="E362" s="43" t="s">
        <v>79</v>
      </c>
      <c r="F362" s="17" t="s">
        <v>0</v>
      </c>
      <c r="G362" s="17"/>
      <c r="H362" s="30">
        <v>7477.7</v>
      </c>
      <c r="I362" s="30">
        <f>IF($J$34&gt;=D362,H362,0)</f>
        <v>0</v>
      </c>
      <c r="J362" s="29">
        <f t="shared" si="26"/>
        <v>7477.7</v>
      </c>
    </row>
    <row r="363" spans="1:10" x14ac:dyDescent="0.2">
      <c r="B363" s="20" t="s">
        <v>99</v>
      </c>
      <c r="C363" s="93">
        <v>43557</v>
      </c>
      <c r="D363" s="93">
        <v>45302</v>
      </c>
      <c r="E363" s="43" t="s">
        <v>101</v>
      </c>
      <c r="F363" s="17" t="s">
        <v>0</v>
      </c>
      <c r="G363" s="17"/>
      <c r="H363" s="30">
        <v>500</v>
      </c>
      <c r="I363" s="30">
        <f>IF($J$34&gt;=D363,H363,500)</f>
        <v>500</v>
      </c>
      <c r="J363" s="29">
        <f t="shared" si="26"/>
        <v>0</v>
      </c>
    </row>
    <row r="364" spans="1:10" x14ac:dyDescent="0.2">
      <c r="B364" s="20" t="s">
        <v>102</v>
      </c>
      <c r="C364" s="93">
        <v>43557</v>
      </c>
      <c r="D364" s="93">
        <v>46976</v>
      </c>
      <c r="E364" s="43" t="s">
        <v>97</v>
      </c>
      <c r="F364" s="17" t="s">
        <v>0</v>
      </c>
      <c r="G364" s="17"/>
      <c r="H364" s="30">
        <v>5500</v>
      </c>
      <c r="I364" s="30">
        <f>IF($J$34&gt;=D364,H364,0)</f>
        <v>0</v>
      </c>
      <c r="J364" s="29">
        <f t="shared" si="26"/>
        <v>5500</v>
      </c>
    </row>
    <row r="365" spans="1:10" x14ac:dyDescent="0.2">
      <c r="B365" s="20" t="s">
        <v>99</v>
      </c>
      <c r="C365" s="93">
        <v>43558</v>
      </c>
      <c r="D365" s="93">
        <v>45302</v>
      </c>
      <c r="E365" s="43" t="s">
        <v>101</v>
      </c>
      <c r="F365" s="17" t="s">
        <v>0</v>
      </c>
      <c r="G365" s="17"/>
      <c r="H365" s="30">
        <v>118</v>
      </c>
      <c r="I365" s="30">
        <f>IF($J$34&gt;=D365,H365,118)</f>
        <v>118</v>
      </c>
      <c r="J365" s="29">
        <f t="shared" si="26"/>
        <v>0</v>
      </c>
    </row>
    <row r="366" spans="1:10" x14ac:dyDescent="0.2">
      <c r="B366" s="20" t="s">
        <v>102</v>
      </c>
      <c r="C366" s="93">
        <v>43558</v>
      </c>
      <c r="D366" s="93">
        <v>46976</v>
      </c>
      <c r="E366" s="43" t="s">
        <v>97</v>
      </c>
      <c r="F366" s="17" t="s">
        <v>0</v>
      </c>
      <c r="G366" s="17"/>
      <c r="H366" s="30">
        <v>3000</v>
      </c>
      <c r="I366" s="30">
        <f t="shared" ref="I366:I377" si="27">IF($J$34&gt;=D366,H366,0)</f>
        <v>0</v>
      </c>
      <c r="J366" s="29">
        <f t="shared" si="26"/>
        <v>3000</v>
      </c>
    </row>
    <row r="367" spans="1:10" x14ac:dyDescent="0.2">
      <c r="B367" s="20" t="s">
        <v>102</v>
      </c>
      <c r="C367" s="93">
        <v>43558</v>
      </c>
      <c r="D367" s="93">
        <v>46976</v>
      </c>
      <c r="E367" s="43" t="s">
        <v>97</v>
      </c>
      <c r="F367" s="17" t="s">
        <v>0</v>
      </c>
      <c r="G367" s="17"/>
      <c r="H367" s="30">
        <v>6500</v>
      </c>
      <c r="I367" s="30">
        <f>IF($J$34&gt;=D367,H367,0)</f>
        <v>0</v>
      </c>
      <c r="J367" s="29">
        <f t="shared" si="26"/>
        <v>6500</v>
      </c>
    </row>
    <row r="368" spans="1:10" x14ac:dyDescent="0.2">
      <c r="B368" s="20" t="s">
        <v>102</v>
      </c>
      <c r="C368" s="93">
        <v>43558</v>
      </c>
      <c r="D368" s="93">
        <v>46976</v>
      </c>
      <c r="E368" s="43" t="s">
        <v>97</v>
      </c>
      <c r="F368" s="17" t="s">
        <v>0</v>
      </c>
      <c r="G368" s="17"/>
      <c r="H368" s="30">
        <v>5500</v>
      </c>
      <c r="I368" s="30">
        <f t="shared" si="27"/>
        <v>0</v>
      </c>
      <c r="J368" s="29">
        <f t="shared" si="26"/>
        <v>5500</v>
      </c>
    </row>
    <row r="369" spans="2:13" x14ac:dyDescent="0.2">
      <c r="B369" s="20" t="s">
        <v>102</v>
      </c>
      <c r="C369" s="93">
        <v>43620</v>
      </c>
      <c r="D369" s="93">
        <v>46976</v>
      </c>
      <c r="E369" s="43" t="s">
        <v>97</v>
      </c>
      <c r="F369" s="17" t="s">
        <v>0</v>
      </c>
      <c r="G369" s="17"/>
      <c r="H369" s="30">
        <v>1500</v>
      </c>
      <c r="I369" s="30">
        <f t="shared" si="27"/>
        <v>0</v>
      </c>
      <c r="J369" s="29">
        <f t="shared" si="26"/>
        <v>1500</v>
      </c>
    </row>
    <row r="370" spans="2:13" x14ac:dyDescent="0.2">
      <c r="B370" s="20" t="s">
        <v>102</v>
      </c>
      <c r="C370" s="93">
        <v>43648</v>
      </c>
      <c r="D370" s="93">
        <v>46976</v>
      </c>
      <c r="E370" s="43" t="s">
        <v>97</v>
      </c>
      <c r="F370" s="17" t="s">
        <v>0</v>
      </c>
      <c r="G370" s="17"/>
      <c r="H370" s="30">
        <v>1000</v>
      </c>
      <c r="I370" s="30">
        <f t="shared" si="27"/>
        <v>0</v>
      </c>
      <c r="J370" s="29">
        <f t="shared" si="26"/>
        <v>1000</v>
      </c>
    </row>
    <row r="371" spans="2:13" x14ac:dyDescent="0.2">
      <c r="B371" s="20" t="s">
        <v>102</v>
      </c>
      <c r="C371" s="93">
        <v>43711</v>
      </c>
      <c r="D371" s="93">
        <v>46976</v>
      </c>
      <c r="E371" s="43" t="s">
        <v>97</v>
      </c>
      <c r="F371" s="17" t="s">
        <v>0</v>
      </c>
      <c r="G371" s="17"/>
      <c r="H371" s="30">
        <v>3000</v>
      </c>
      <c r="I371" s="30">
        <f t="shared" si="27"/>
        <v>0</v>
      </c>
      <c r="J371" s="29">
        <f t="shared" si="26"/>
        <v>3000</v>
      </c>
    </row>
    <row r="372" spans="2:13" x14ac:dyDescent="0.2">
      <c r="B372" s="20" t="s">
        <v>102</v>
      </c>
      <c r="C372" s="93">
        <v>43712</v>
      </c>
      <c r="D372" s="93">
        <v>46976</v>
      </c>
      <c r="E372" s="43" t="s">
        <v>97</v>
      </c>
      <c r="F372" s="17" t="s">
        <v>0</v>
      </c>
      <c r="G372" s="17"/>
      <c r="H372" s="30">
        <v>1160.2</v>
      </c>
      <c r="I372" s="30">
        <f t="shared" si="27"/>
        <v>0</v>
      </c>
      <c r="J372" s="29">
        <f t="shared" si="26"/>
        <v>1160.2</v>
      </c>
    </row>
    <row r="373" spans="2:13" x14ac:dyDescent="0.2">
      <c r="B373" s="20" t="s">
        <v>103</v>
      </c>
      <c r="C373" s="93">
        <v>43774</v>
      </c>
      <c r="D373" s="93">
        <v>47430</v>
      </c>
      <c r="E373" s="43" t="s">
        <v>97</v>
      </c>
      <c r="F373" s="17" t="s">
        <v>0</v>
      </c>
      <c r="G373" s="17"/>
      <c r="H373" s="30">
        <v>5000</v>
      </c>
      <c r="I373" s="30">
        <f t="shared" si="27"/>
        <v>0</v>
      </c>
      <c r="J373" s="29">
        <f t="shared" si="26"/>
        <v>5000</v>
      </c>
      <c r="M373" s="56"/>
    </row>
    <row r="374" spans="2:13" x14ac:dyDescent="0.2">
      <c r="B374" s="20" t="s">
        <v>103</v>
      </c>
      <c r="C374" s="93">
        <v>43795</v>
      </c>
      <c r="D374" s="93">
        <v>47430</v>
      </c>
      <c r="E374" s="43" t="s">
        <v>97</v>
      </c>
      <c r="F374" s="17" t="s">
        <v>0</v>
      </c>
      <c r="G374" s="17"/>
      <c r="H374" s="30">
        <v>5500</v>
      </c>
      <c r="I374" s="30">
        <f t="shared" si="27"/>
        <v>0</v>
      </c>
      <c r="J374" s="29">
        <f t="shared" si="26"/>
        <v>5500</v>
      </c>
      <c r="M374" s="56"/>
    </row>
    <row r="375" spans="2:13" x14ac:dyDescent="0.2">
      <c r="B375" s="20" t="s">
        <v>103</v>
      </c>
      <c r="C375" s="93">
        <v>43796</v>
      </c>
      <c r="D375" s="93">
        <v>47430</v>
      </c>
      <c r="E375" s="43" t="s">
        <v>97</v>
      </c>
      <c r="F375" s="17" t="s">
        <v>0</v>
      </c>
      <c r="G375" s="17"/>
      <c r="H375" s="30">
        <v>4300</v>
      </c>
      <c r="I375" s="30">
        <f t="shared" si="27"/>
        <v>0</v>
      </c>
      <c r="J375" s="29">
        <f t="shared" si="26"/>
        <v>4300</v>
      </c>
      <c r="M375" s="56"/>
    </row>
    <row r="376" spans="2:13" x14ac:dyDescent="0.2">
      <c r="B376" s="20" t="s">
        <v>103</v>
      </c>
      <c r="C376" s="93">
        <v>43809</v>
      </c>
      <c r="D376" s="93">
        <v>47430</v>
      </c>
      <c r="E376" s="43" t="s">
        <v>97</v>
      </c>
      <c r="F376" s="17" t="s">
        <v>0</v>
      </c>
      <c r="G376" s="17"/>
      <c r="H376" s="30">
        <v>2000</v>
      </c>
      <c r="I376" s="30">
        <f t="shared" si="27"/>
        <v>0</v>
      </c>
      <c r="J376" s="29">
        <f t="shared" si="26"/>
        <v>2000</v>
      </c>
      <c r="M376" s="56"/>
    </row>
    <row r="377" spans="2:13" x14ac:dyDescent="0.2">
      <c r="B377" s="20" t="s">
        <v>103</v>
      </c>
      <c r="C377" s="93">
        <v>43810</v>
      </c>
      <c r="D377" s="93">
        <v>47430</v>
      </c>
      <c r="E377" s="43" t="s">
        <v>97</v>
      </c>
      <c r="F377" s="17" t="s">
        <v>0</v>
      </c>
      <c r="G377" s="17"/>
      <c r="H377" s="30">
        <v>515.70000000000005</v>
      </c>
      <c r="I377" s="30">
        <f t="shared" si="27"/>
        <v>0</v>
      </c>
      <c r="J377" s="29">
        <f t="shared" si="26"/>
        <v>515.70000000000005</v>
      </c>
      <c r="M377" s="56"/>
    </row>
    <row r="378" spans="2:13" ht="13.5" thickBot="1" x14ac:dyDescent="0.25">
      <c r="B378" s="63"/>
      <c r="C378" s="63"/>
      <c r="D378" s="63"/>
      <c r="E378" s="63"/>
      <c r="F378" s="63"/>
      <c r="G378" s="63"/>
      <c r="H378" s="63"/>
      <c r="I378" s="63"/>
      <c r="J378" s="63"/>
    </row>
    <row r="379" spans="2:13" x14ac:dyDescent="0.2">
      <c r="B379" s="75"/>
      <c r="C379" s="75"/>
      <c r="D379" s="75"/>
      <c r="E379" s="75"/>
      <c r="F379" s="75"/>
      <c r="G379" s="75"/>
      <c r="H379" s="75"/>
      <c r="I379" s="75"/>
      <c r="J379" s="75"/>
    </row>
    <row r="380" spans="2:13" x14ac:dyDescent="0.2">
      <c r="B380" s="48" t="s">
        <v>56</v>
      </c>
      <c r="C380" s="11"/>
      <c r="D380" s="11"/>
      <c r="E380" s="11"/>
      <c r="F380" s="11"/>
      <c r="G380" s="12"/>
      <c r="H380" s="11"/>
      <c r="I380" s="11"/>
      <c r="J380" s="11"/>
    </row>
    <row r="381" spans="2:13" ht="13.5" thickBot="1" x14ac:dyDescent="0.25">
      <c r="B381" s="90"/>
      <c r="C381" s="90"/>
      <c r="D381" s="90"/>
      <c r="F381" s="58"/>
    </row>
    <row r="382" spans="2:13" ht="13.5" thickTop="1" x14ac:dyDescent="0.2"/>
    <row r="387" spans="1:15" ht="15" x14ac:dyDescent="0.25">
      <c r="B387" s="110" t="s">
        <v>108</v>
      </c>
      <c r="C387" s="110"/>
      <c r="D387" s="110"/>
      <c r="E387" s="110"/>
      <c r="F387" s="110"/>
      <c r="G387" s="110"/>
      <c r="H387" s="110"/>
      <c r="I387" s="110"/>
      <c r="J387" s="110"/>
    </row>
    <row r="388" spans="1:15" x14ac:dyDescent="0.2">
      <c r="B388" s="84"/>
      <c r="C388" s="84"/>
      <c r="D388" s="84"/>
      <c r="J388" s="47"/>
    </row>
    <row r="389" spans="1:15" x14ac:dyDescent="0.2">
      <c r="B389" s="111" t="s">
        <v>38</v>
      </c>
      <c r="C389" s="111"/>
      <c r="D389" s="111"/>
      <c r="E389" s="111"/>
      <c r="F389" s="111"/>
      <c r="G389" s="111"/>
      <c r="H389" s="111"/>
      <c r="I389" s="111"/>
      <c r="J389" s="111"/>
    </row>
    <row r="390" spans="1:15" ht="25.5" customHeight="1" x14ac:dyDescent="0.2">
      <c r="B390" s="112" t="s">
        <v>39</v>
      </c>
      <c r="C390" s="112" t="s">
        <v>40</v>
      </c>
      <c r="D390" s="112" t="s">
        <v>41</v>
      </c>
      <c r="E390" s="112" t="s">
        <v>42</v>
      </c>
      <c r="F390" s="112" t="s">
        <v>43</v>
      </c>
      <c r="G390" s="112" t="s">
        <v>44</v>
      </c>
      <c r="H390" s="112" t="s">
        <v>45</v>
      </c>
      <c r="I390" s="112" t="s">
        <v>46</v>
      </c>
      <c r="J390" s="94" t="s">
        <v>47</v>
      </c>
    </row>
    <row r="391" spans="1:15" x14ac:dyDescent="0.2">
      <c r="B391" s="113"/>
      <c r="C391" s="113"/>
      <c r="D391" s="113"/>
      <c r="E391" s="113"/>
      <c r="F391" s="113"/>
      <c r="G391" s="113"/>
      <c r="H391" s="113"/>
      <c r="I391" s="113"/>
      <c r="J391" s="95">
        <f>J352</f>
        <v>45382</v>
      </c>
    </row>
    <row r="392" spans="1:15" x14ac:dyDescent="0.2">
      <c r="B392" s="2"/>
      <c r="C392" s="2"/>
      <c r="D392" s="2"/>
      <c r="E392" s="2"/>
      <c r="F392" s="2"/>
      <c r="G392" s="87"/>
      <c r="H392" s="2"/>
      <c r="I392" s="2"/>
      <c r="J392" s="10"/>
    </row>
    <row r="393" spans="1:15" ht="15.75" thickBot="1" x14ac:dyDescent="0.3">
      <c r="A393" s="22" t="s">
        <v>133</v>
      </c>
      <c r="B393" s="2"/>
      <c r="C393" s="2"/>
      <c r="D393" s="2"/>
      <c r="E393" s="13" t="s">
        <v>3</v>
      </c>
      <c r="F393" s="5"/>
      <c r="G393" s="14">
        <v>599525.41791399999</v>
      </c>
      <c r="H393" s="14">
        <f>SUM(H394:H409)</f>
        <v>96325.1</v>
      </c>
      <c r="I393" s="14">
        <f t="shared" ref="I393:J393" si="28">SUM(I394:I409)</f>
        <v>0</v>
      </c>
      <c r="J393" s="14">
        <f t="shared" si="28"/>
        <v>96325.1</v>
      </c>
    </row>
    <row r="394" spans="1:15" ht="13.5" thickTop="1" x14ac:dyDescent="0.2">
      <c r="B394" s="20" t="s">
        <v>106</v>
      </c>
      <c r="C394" s="93">
        <v>43846</v>
      </c>
      <c r="D394" s="93">
        <v>47494</v>
      </c>
      <c r="E394" s="43" t="s">
        <v>107</v>
      </c>
      <c r="F394" s="17" t="s">
        <v>0</v>
      </c>
      <c r="G394" s="17"/>
      <c r="H394" s="30">
        <v>1408</v>
      </c>
      <c r="I394" s="30">
        <f>IF($J$391&gt;=D394,H394,0)</f>
        <v>0</v>
      </c>
      <c r="J394" s="29">
        <f t="shared" ref="J394:J405" si="29">H394-I394</f>
        <v>1408</v>
      </c>
      <c r="N394" s="59"/>
    </row>
    <row r="395" spans="1:15" x14ac:dyDescent="0.2">
      <c r="B395" s="20" t="s">
        <v>106</v>
      </c>
      <c r="C395" s="93">
        <v>43847</v>
      </c>
      <c r="D395" s="93">
        <v>47494</v>
      </c>
      <c r="E395" s="43" t="s">
        <v>107</v>
      </c>
      <c r="F395" s="17" t="s">
        <v>0</v>
      </c>
      <c r="G395" s="17"/>
      <c r="H395" s="30">
        <v>4000</v>
      </c>
      <c r="I395" s="30">
        <f t="shared" ref="I395:I409" si="30">IF($J$391&gt;=D395,H395,0)</f>
        <v>0</v>
      </c>
      <c r="J395" s="29">
        <f t="shared" si="29"/>
        <v>4000</v>
      </c>
    </row>
    <row r="396" spans="1:15" x14ac:dyDescent="0.2">
      <c r="B396" s="20" t="s">
        <v>106</v>
      </c>
      <c r="C396" s="93">
        <v>43865</v>
      </c>
      <c r="D396" s="93">
        <v>47494</v>
      </c>
      <c r="E396" s="43" t="s">
        <v>107</v>
      </c>
      <c r="F396" s="17" t="s">
        <v>0</v>
      </c>
      <c r="G396" s="17"/>
      <c r="H396" s="30">
        <v>3000</v>
      </c>
      <c r="I396" s="30">
        <f t="shared" si="30"/>
        <v>0</v>
      </c>
      <c r="J396" s="29">
        <f t="shared" si="29"/>
        <v>3000</v>
      </c>
    </row>
    <row r="397" spans="1:15" x14ac:dyDescent="0.2">
      <c r="B397" s="20" t="s">
        <v>106</v>
      </c>
      <c r="C397" s="93">
        <v>43866</v>
      </c>
      <c r="D397" s="93">
        <v>47494</v>
      </c>
      <c r="E397" s="43" t="s">
        <v>107</v>
      </c>
      <c r="F397" s="17" t="s">
        <v>0</v>
      </c>
      <c r="G397" s="17"/>
      <c r="H397" s="30">
        <v>1050</v>
      </c>
      <c r="I397" s="30">
        <f t="shared" si="30"/>
        <v>0</v>
      </c>
      <c r="J397" s="29">
        <f t="shared" si="29"/>
        <v>1050</v>
      </c>
      <c r="O397" s="59"/>
    </row>
    <row r="398" spans="1:15" x14ac:dyDescent="0.2">
      <c r="B398" s="20" t="s">
        <v>112</v>
      </c>
      <c r="C398" s="93">
        <v>43893</v>
      </c>
      <c r="D398" s="93">
        <v>51141</v>
      </c>
      <c r="E398" s="43" t="s">
        <v>113</v>
      </c>
      <c r="F398" s="17" t="s">
        <v>0</v>
      </c>
      <c r="G398" s="17"/>
      <c r="H398" s="30">
        <v>3813.8</v>
      </c>
      <c r="I398" s="30">
        <f t="shared" si="30"/>
        <v>0</v>
      </c>
      <c r="J398" s="29">
        <f t="shared" si="29"/>
        <v>3813.8</v>
      </c>
      <c r="O398" s="59"/>
    </row>
    <row r="399" spans="1:15" x14ac:dyDescent="0.2">
      <c r="B399" s="20" t="s">
        <v>112</v>
      </c>
      <c r="C399" s="93">
        <v>43893</v>
      </c>
      <c r="D399" s="93">
        <v>51141</v>
      </c>
      <c r="E399" s="43" t="s">
        <v>113</v>
      </c>
      <c r="F399" s="17" t="s">
        <v>0</v>
      </c>
      <c r="G399" s="17"/>
      <c r="H399" s="30">
        <v>5000</v>
      </c>
      <c r="I399" s="30">
        <f t="shared" si="30"/>
        <v>0</v>
      </c>
      <c r="J399" s="29">
        <f t="shared" si="29"/>
        <v>5000</v>
      </c>
      <c r="O399" s="59"/>
    </row>
    <row r="400" spans="1:15" x14ac:dyDescent="0.2">
      <c r="B400" s="20" t="s">
        <v>115</v>
      </c>
      <c r="C400" s="93">
        <v>43952</v>
      </c>
      <c r="D400" s="93">
        <v>47542</v>
      </c>
      <c r="E400" s="43" t="s">
        <v>118</v>
      </c>
      <c r="F400" s="17" t="s">
        <v>0</v>
      </c>
      <c r="G400" s="17"/>
      <c r="H400" s="30">
        <v>10000</v>
      </c>
      <c r="I400" s="30">
        <f t="shared" si="30"/>
        <v>0</v>
      </c>
      <c r="J400" s="29">
        <f t="shared" si="29"/>
        <v>10000</v>
      </c>
      <c r="O400" s="59"/>
    </row>
    <row r="401" spans="2:15" x14ac:dyDescent="0.2">
      <c r="B401" s="20" t="s">
        <v>116</v>
      </c>
      <c r="C401" s="93">
        <v>43952</v>
      </c>
      <c r="D401" s="93">
        <v>49368</v>
      </c>
      <c r="E401" s="99" t="s">
        <v>119</v>
      </c>
      <c r="F401" s="17" t="s">
        <v>0</v>
      </c>
      <c r="G401" s="17"/>
      <c r="H401" s="30">
        <v>10000</v>
      </c>
      <c r="I401" s="30">
        <f t="shared" si="30"/>
        <v>0</v>
      </c>
      <c r="J401" s="29">
        <f t="shared" si="29"/>
        <v>10000</v>
      </c>
      <c r="O401" s="59"/>
    </row>
    <row r="402" spans="2:15" x14ac:dyDescent="0.2">
      <c r="B402" s="20" t="s">
        <v>117</v>
      </c>
      <c r="C402" s="93">
        <v>43952</v>
      </c>
      <c r="D402" s="93">
        <v>51194</v>
      </c>
      <c r="E402" s="99" t="s">
        <v>120</v>
      </c>
      <c r="F402" s="17" t="s">
        <v>0</v>
      </c>
      <c r="G402" s="17"/>
      <c r="H402" s="30">
        <v>10000</v>
      </c>
      <c r="I402" s="30">
        <f t="shared" si="30"/>
        <v>0</v>
      </c>
      <c r="J402" s="29">
        <f t="shared" si="29"/>
        <v>10000</v>
      </c>
      <c r="O402" s="59"/>
    </row>
    <row r="403" spans="2:15" x14ac:dyDescent="0.2">
      <c r="B403" s="20" t="s">
        <v>123</v>
      </c>
      <c r="C403" s="93">
        <v>43952</v>
      </c>
      <c r="D403" s="93">
        <v>51194</v>
      </c>
      <c r="E403" s="99" t="s">
        <v>120</v>
      </c>
      <c r="F403" s="17" t="s">
        <v>0</v>
      </c>
      <c r="G403" s="17"/>
      <c r="H403" s="30">
        <v>10000</v>
      </c>
      <c r="I403" s="30">
        <f t="shared" si="30"/>
        <v>0</v>
      </c>
      <c r="J403" s="29">
        <f t="shared" si="29"/>
        <v>10000</v>
      </c>
      <c r="O403" s="59"/>
    </row>
    <row r="404" spans="2:15" x14ac:dyDescent="0.2">
      <c r="B404" s="20" t="s">
        <v>106</v>
      </c>
      <c r="C404" s="93">
        <v>44047</v>
      </c>
      <c r="D404" s="93">
        <v>47494</v>
      </c>
      <c r="E404" s="43" t="s">
        <v>107</v>
      </c>
      <c r="F404" s="17" t="s">
        <v>0</v>
      </c>
      <c r="G404" s="17"/>
      <c r="H404" s="30">
        <v>2500</v>
      </c>
      <c r="I404" s="30">
        <f t="shared" si="30"/>
        <v>0</v>
      </c>
      <c r="J404" s="29">
        <f t="shared" si="29"/>
        <v>2500</v>
      </c>
      <c r="O404" s="59"/>
    </row>
    <row r="405" spans="2:15" x14ac:dyDescent="0.2">
      <c r="B405" s="20" t="s">
        <v>106</v>
      </c>
      <c r="C405" s="93">
        <v>44048</v>
      </c>
      <c r="D405" s="93">
        <v>47494</v>
      </c>
      <c r="E405" s="43" t="s">
        <v>107</v>
      </c>
      <c r="F405" s="17" t="s">
        <v>0</v>
      </c>
      <c r="G405" s="17"/>
      <c r="H405" s="30">
        <v>2500</v>
      </c>
      <c r="I405" s="30">
        <f t="shared" si="30"/>
        <v>0</v>
      </c>
      <c r="J405" s="29">
        <f t="shared" si="29"/>
        <v>2500</v>
      </c>
      <c r="O405" s="59"/>
    </row>
    <row r="406" spans="2:15" x14ac:dyDescent="0.2">
      <c r="B406" s="20" t="s">
        <v>106</v>
      </c>
      <c r="C406" s="93">
        <v>44075</v>
      </c>
      <c r="D406" s="93">
        <v>47494</v>
      </c>
      <c r="E406" s="43" t="s">
        <v>107</v>
      </c>
      <c r="F406" s="17" t="s">
        <v>0</v>
      </c>
      <c r="G406" s="17"/>
      <c r="H406" s="30">
        <v>2500</v>
      </c>
      <c r="I406" s="30">
        <f t="shared" si="30"/>
        <v>0</v>
      </c>
      <c r="J406" s="29">
        <f t="shared" ref="J406:J409" si="31">H406-I406</f>
        <v>2500</v>
      </c>
      <c r="O406" s="59"/>
    </row>
    <row r="407" spans="2:15" x14ac:dyDescent="0.2">
      <c r="B407" s="20" t="s">
        <v>106</v>
      </c>
      <c r="C407" s="93">
        <v>44076</v>
      </c>
      <c r="D407" s="93">
        <v>47494</v>
      </c>
      <c r="E407" s="43" t="s">
        <v>107</v>
      </c>
      <c r="F407" s="17" t="s">
        <v>0</v>
      </c>
      <c r="G407" s="17"/>
      <c r="H407" s="30">
        <v>3535.6</v>
      </c>
      <c r="I407" s="30">
        <f t="shared" si="30"/>
        <v>0</v>
      </c>
      <c r="J407" s="29">
        <f t="shared" si="31"/>
        <v>3535.6</v>
      </c>
      <c r="O407" s="59"/>
    </row>
    <row r="408" spans="2:15" x14ac:dyDescent="0.2">
      <c r="B408" s="20" t="s">
        <v>106</v>
      </c>
      <c r="C408" s="93">
        <v>44196</v>
      </c>
      <c r="D408" s="93">
        <v>47494</v>
      </c>
      <c r="E408" s="43" t="s">
        <v>107</v>
      </c>
      <c r="F408" s="17" t="s">
        <v>0</v>
      </c>
      <c r="G408" s="17"/>
      <c r="H408" s="30">
        <v>9500</v>
      </c>
      <c r="I408" s="30">
        <f t="shared" si="30"/>
        <v>0</v>
      </c>
      <c r="J408" s="29">
        <f t="shared" si="31"/>
        <v>9500</v>
      </c>
      <c r="O408" s="59"/>
    </row>
    <row r="409" spans="2:15" x14ac:dyDescent="0.2">
      <c r="B409" s="20" t="s">
        <v>127</v>
      </c>
      <c r="C409" s="93">
        <v>44196</v>
      </c>
      <c r="D409" s="93">
        <v>49314</v>
      </c>
      <c r="E409" s="43" t="s">
        <v>120</v>
      </c>
      <c r="F409" s="17" t="s">
        <v>0</v>
      </c>
      <c r="G409" s="17"/>
      <c r="H409" s="30">
        <v>17517.7</v>
      </c>
      <c r="I409" s="30">
        <f t="shared" si="30"/>
        <v>0</v>
      </c>
      <c r="J409" s="29">
        <f t="shared" si="31"/>
        <v>17517.7</v>
      </c>
      <c r="O409" s="59"/>
    </row>
    <row r="410" spans="2:15" ht="13.5" thickBot="1" x14ac:dyDescent="0.25">
      <c r="B410" s="63"/>
      <c r="C410" s="63"/>
      <c r="D410" s="63"/>
      <c r="E410" s="63"/>
      <c r="F410" s="63"/>
      <c r="G410" s="63"/>
      <c r="H410" s="63"/>
      <c r="I410" s="63"/>
      <c r="J410" s="63"/>
    </row>
    <row r="411" spans="2:15" x14ac:dyDescent="0.2">
      <c r="B411" s="75"/>
      <c r="C411" s="75"/>
      <c r="D411" s="75"/>
      <c r="E411" s="75"/>
      <c r="F411" s="75"/>
      <c r="G411" s="75"/>
      <c r="H411" s="75"/>
      <c r="I411" s="75"/>
      <c r="J411" s="75"/>
    </row>
    <row r="412" spans="2:15" x14ac:dyDescent="0.2">
      <c r="B412" s="48" t="s">
        <v>56</v>
      </c>
      <c r="C412" s="11"/>
      <c r="D412" s="11"/>
      <c r="E412" s="11"/>
      <c r="F412" s="11"/>
      <c r="G412" s="12"/>
      <c r="H412" s="11"/>
      <c r="I412" s="11"/>
      <c r="J412" s="11"/>
    </row>
    <row r="413" spans="2:15" ht="13.5" thickBot="1" x14ac:dyDescent="0.25">
      <c r="B413" s="90"/>
      <c r="C413" s="90"/>
      <c r="D413" s="90"/>
      <c r="F413" s="58"/>
    </row>
    <row r="414" spans="2:15" ht="13.5" thickTop="1" x14ac:dyDescent="0.2"/>
    <row r="419" spans="1:10" ht="15" x14ac:dyDescent="0.25">
      <c r="B419" s="110" t="s">
        <v>128</v>
      </c>
      <c r="C419" s="110"/>
      <c r="D419" s="110"/>
      <c r="E419" s="110"/>
      <c r="F419" s="110"/>
      <c r="G419" s="110"/>
      <c r="H419" s="110"/>
      <c r="I419" s="110"/>
      <c r="J419" s="110"/>
    </row>
    <row r="420" spans="1:10" x14ac:dyDescent="0.2">
      <c r="B420" s="84"/>
      <c r="C420" s="84"/>
      <c r="D420" s="84"/>
      <c r="J420" s="47"/>
    </row>
    <row r="421" spans="1:10" ht="12.75" customHeight="1" x14ac:dyDescent="0.2">
      <c r="B421" s="111" t="s">
        <v>38</v>
      </c>
      <c r="C421" s="111"/>
      <c r="D421" s="111"/>
      <c r="E421" s="111"/>
      <c r="F421" s="111"/>
      <c r="G421" s="111"/>
      <c r="H421" s="111"/>
      <c r="I421" s="111"/>
      <c r="J421" s="111"/>
    </row>
    <row r="422" spans="1:10" ht="27" customHeight="1" x14ac:dyDescent="0.2">
      <c r="B422" s="112" t="s">
        <v>39</v>
      </c>
      <c r="C422" s="112" t="s">
        <v>40</v>
      </c>
      <c r="D422" s="112" t="s">
        <v>41</v>
      </c>
      <c r="E422" s="112" t="s">
        <v>42</v>
      </c>
      <c r="F422" s="112" t="s">
        <v>43</v>
      </c>
      <c r="G422" s="112" t="s">
        <v>44</v>
      </c>
      <c r="H422" s="112" t="s">
        <v>45</v>
      </c>
      <c r="I422" s="112" t="s">
        <v>46</v>
      </c>
      <c r="J422" s="94" t="s">
        <v>47</v>
      </c>
    </row>
    <row r="423" spans="1:10" x14ac:dyDescent="0.2">
      <c r="B423" s="113"/>
      <c r="C423" s="113"/>
      <c r="D423" s="113"/>
      <c r="E423" s="113"/>
      <c r="F423" s="113"/>
      <c r="G423" s="113"/>
      <c r="H423" s="113"/>
      <c r="I423" s="113"/>
      <c r="J423" s="95">
        <f>J34</f>
        <v>45382</v>
      </c>
    </row>
    <row r="424" spans="1:10" x14ac:dyDescent="0.2">
      <c r="B424" s="2"/>
      <c r="C424" s="2"/>
      <c r="D424" s="2"/>
      <c r="E424" s="2"/>
      <c r="F424" s="2"/>
      <c r="G424" s="87"/>
      <c r="H424" s="2"/>
      <c r="I424" s="2"/>
      <c r="J424" s="10"/>
    </row>
    <row r="425" spans="1:10" ht="15.75" thickBot="1" x14ac:dyDescent="0.3">
      <c r="A425" s="22" t="s">
        <v>133</v>
      </c>
      <c r="B425" s="2"/>
      <c r="C425" s="2"/>
      <c r="D425" s="2"/>
      <c r="E425" s="13" t="s">
        <v>3</v>
      </c>
      <c r="F425" s="5" t="s">
        <v>0</v>
      </c>
      <c r="G425" s="14">
        <v>253727.67</v>
      </c>
      <c r="H425" s="14">
        <f>SUM(H426:H429)</f>
        <v>128756.3</v>
      </c>
      <c r="I425" s="14">
        <f t="shared" ref="I425:J425" si="32">SUM(I426:I429)</f>
        <v>0</v>
      </c>
      <c r="J425" s="14">
        <f t="shared" si="32"/>
        <v>128756.3</v>
      </c>
    </row>
    <row r="426" spans="1:10" ht="13.5" thickTop="1" x14ac:dyDescent="0.2">
      <c r="B426" s="20" t="s">
        <v>112</v>
      </c>
      <c r="C426" s="93">
        <v>44229</v>
      </c>
      <c r="D426" s="93">
        <v>51141</v>
      </c>
      <c r="E426" s="43" t="s">
        <v>113</v>
      </c>
      <c r="F426" s="17" t="s">
        <v>0</v>
      </c>
      <c r="G426" s="17"/>
      <c r="H426" s="30">
        <f>7000000000/1000000</f>
        <v>7000</v>
      </c>
      <c r="I426" s="30">
        <f>IF($J$423&gt;=D426,H426,0)</f>
        <v>0</v>
      </c>
      <c r="J426" s="29">
        <f t="shared" ref="J426:J429" si="33">H426-I426</f>
        <v>7000</v>
      </c>
    </row>
    <row r="427" spans="1:10" x14ac:dyDescent="0.2">
      <c r="B427" s="20" t="s">
        <v>127</v>
      </c>
      <c r="C427" s="93">
        <v>44292</v>
      </c>
      <c r="D427" s="93">
        <v>49314</v>
      </c>
      <c r="E427" s="43" t="s">
        <v>120</v>
      </c>
      <c r="F427" s="17" t="s">
        <v>0</v>
      </c>
      <c r="G427" s="17"/>
      <c r="H427" s="30">
        <f>5000000000/1000000</f>
        <v>5000</v>
      </c>
      <c r="I427" s="30">
        <f t="shared" ref="I427:I429" si="34">IF($J$423&gt;=D427,H427,0)</f>
        <v>0</v>
      </c>
      <c r="J427" s="29">
        <f t="shared" si="33"/>
        <v>5000</v>
      </c>
    </row>
    <row r="428" spans="1:10" x14ac:dyDescent="0.2">
      <c r="B428" s="20" t="s">
        <v>130</v>
      </c>
      <c r="C428" s="93">
        <v>44355</v>
      </c>
      <c r="D428" s="93">
        <v>46915</v>
      </c>
      <c r="E428" s="43" t="s">
        <v>135</v>
      </c>
      <c r="F428" s="17" t="s">
        <v>0</v>
      </c>
      <c r="G428" s="17"/>
      <c r="H428" s="30">
        <v>35314.5</v>
      </c>
      <c r="I428" s="30">
        <f t="shared" si="34"/>
        <v>0</v>
      </c>
      <c r="J428" s="29">
        <f t="shared" si="33"/>
        <v>35314.5</v>
      </c>
    </row>
    <row r="429" spans="1:10" x14ac:dyDescent="0.2">
      <c r="B429" s="20" t="s">
        <v>131</v>
      </c>
      <c r="C429" s="93">
        <v>44355</v>
      </c>
      <c r="D429" s="93">
        <v>48010</v>
      </c>
      <c r="E429" s="43" t="s">
        <v>136</v>
      </c>
      <c r="F429" s="17" t="s">
        <v>0</v>
      </c>
      <c r="G429" s="17"/>
      <c r="H429" s="30">
        <v>81441.8</v>
      </c>
      <c r="I429" s="30">
        <f t="shared" si="34"/>
        <v>0</v>
      </c>
      <c r="J429" s="29">
        <f t="shared" si="33"/>
        <v>81441.8</v>
      </c>
    </row>
    <row r="430" spans="1:10" ht="13.5" thickBot="1" x14ac:dyDescent="0.25">
      <c r="B430" s="63"/>
      <c r="C430" s="63"/>
      <c r="D430" s="63"/>
      <c r="E430" s="63"/>
      <c r="F430" s="63"/>
      <c r="G430" s="63"/>
      <c r="H430" s="63"/>
      <c r="I430" s="63"/>
      <c r="J430" s="63"/>
    </row>
    <row r="431" spans="1:10" x14ac:dyDescent="0.2">
      <c r="B431" s="20"/>
      <c r="C431" s="88"/>
      <c r="D431" s="89"/>
      <c r="E431" s="19"/>
      <c r="F431" s="17"/>
      <c r="G431" s="17"/>
      <c r="H431" s="30"/>
      <c r="I431" s="30"/>
      <c r="J431" s="29"/>
    </row>
    <row r="432" spans="1:10" x14ac:dyDescent="0.2">
      <c r="B432" s="102" t="s">
        <v>56</v>
      </c>
      <c r="C432" s="11"/>
      <c r="D432" s="11"/>
      <c r="E432" s="11"/>
      <c r="F432" s="11"/>
      <c r="G432" s="12"/>
      <c r="H432" s="11"/>
      <c r="I432" s="11"/>
      <c r="J432" s="11"/>
    </row>
    <row r="433" spans="1:10" ht="13.5" thickBot="1" x14ac:dyDescent="0.25">
      <c r="B433" s="90"/>
      <c r="C433" s="90"/>
      <c r="D433" s="90"/>
      <c r="F433" s="58"/>
      <c r="G433" s="103"/>
    </row>
    <row r="434" spans="1:10" ht="13.5" thickTop="1" x14ac:dyDescent="0.2"/>
    <row r="438" spans="1:10" ht="15" x14ac:dyDescent="0.25">
      <c r="B438" s="110" t="s">
        <v>138</v>
      </c>
      <c r="C438" s="110"/>
      <c r="D438" s="110"/>
      <c r="E438" s="110"/>
      <c r="F438" s="110"/>
      <c r="G438" s="110"/>
      <c r="H438" s="110"/>
      <c r="I438" s="110"/>
      <c r="J438" s="110"/>
    </row>
    <row r="439" spans="1:10" x14ac:dyDescent="0.2">
      <c r="B439" s="84"/>
      <c r="C439" s="84"/>
      <c r="D439" s="84"/>
      <c r="J439" s="47"/>
    </row>
    <row r="440" spans="1:10" x14ac:dyDescent="0.2">
      <c r="B440" s="111" t="s">
        <v>38</v>
      </c>
      <c r="C440" s="111"/>
      <c r="D440" s="111"/>
      <c r="E440" s="111"/>
      <c r="F440" s="111"/>
      <c r="G440" s="111"/>
      <c r="H440" s="111"/>
      <c r="I440" s="111"/>
      <c r="J440" s="111"/>
    </row>
    <row r="441" spans="1:10" x14ac:dyDescent="0.2">
      <c r="B441" s="112" t="s">
        <v>39</v>
      </c>
      <c r="C441" s="112" t="s">
        <v>40</v>
      </c>
      <c r="D441" s="112" t="s">
        <v>41</v>
      </c>
      <c r="E441" s="112" t="s">
        <v>42</v>
      </c>
      <c r="F441" s="112" t="s">
        <v>43</v>
      </c>
      <c r="G441" s="112" t="s">
        <v>44</v>
      </c>
      <c r="H441" s="112" t="s">
        <v>45</v>
      </c>
      <c r="I441" s="112" t="s">
        <v>46</v>
      </c>
      <c r="J441" s="94" t="s">
        <v>47</v>
      </c>
    </row>
    <row r="442" spans="1:10" x14ac:dyDescent="0.2">
      <c r="B442" s="113"/>
      <c r="C442" s="113"/>
      <c r="D442" s="113"/>
      <c r="E442" s="113"/>
      <c r="F442" s="113"/>
      <c r="G442" s="113"/>
      <c r="H442" s="113"/>
      <c r="I442" s="113"/>
      <c r="J442" s="95">
        <f>J423</f>
        <v>45382</v>
      </c>
    </row>
    <row r="443" spans="1:10" x14ac:dyDescent="0.2">
      <c r="B443" s="2"/>
      <c r="C443" s="2"/>
      <c r="D443" s="2"/>
      <c r="E443" s="2"/>
      <c r="F443" s="2"/>
      <c r="G443" s="87"/>
      <c r="H443" s="2"/>
      <c r="I443" s="2"/>
      <c r="J443" s="10"/>
    </row>
    <row r="444" spans="1:10" ht="15.75" thickBot="1" x14ac:dyDescent="0.3">
      <c r="A444" s="22" t="s">
        <v>133</v>
      </c>
      <c r="B444" s="2"/>
      <c r="C444" s="2"/>
      <c r="D444" s="2"/>
      <c r="E444" s="13" t="s">
        <v>3</v>
      </c>
      <c r="F444" s="5" t="s">
        <v>0</v>
      </c>
      <c r="G444" s="14">
        <v>284079.39331900002</v>
      </c>
      <c r="H444" s="14">
        <f>SUM(H445:H448)</f>
        <v>100000</v>
      </c>
      <c r="I444" s="14">
        <f t="shared" ref="I444:J444" si="35">SUM(I445:I448)</f>
        <v>0</v>
      </c>
      <c r="J444" s="14">
        <f t="shared" si="35"/>
        <v>100000</v>
      </c>
    </row>
    <row r="445" spans="1:10" ht="13.5" thickTop="1" x14ac:dyDescent="0.2">
      <c r="B445" s="20" t="s">
        <v>139</v>
      </c>
      <c r="C445" s="93">
        <v>44719</v>
      </c>
      <c r="D445" s="93">
        <v>49104</v>
      </c>
      <c r="E445" s="43" t="s">
        <v>141</v>
      </c>
      <c r="F445" s="17" t="s">
        <v>0</v>
      </c>
      <c r="G445" s="17"/>
      <c r="H445" s="30">
        <v>50000</v>
      </c>
      <c r="I445" s="30">
        <f>IF($J$442&gt;=D445,H445,0)</f>
        <v>0</v>
      </c>
      <c r="J445" s="29">
        <f t="shared" ref="J445:J446" si="36">H445-I445</f>
        <v>50000</v>
      </c>
    </row>
    <row r="446" spans="1:10" x14ac:dyDescent="0.2">
      <c r="B446" s="20" t="s">
        <v>139</v>
      </c>
      <c r="C446" s="93">
        <v>44721</v>
      </c>
      <c r="D446" s="93">
        <v>49104</v>
      </c>
      <c r="E446" s="43" t="s">
        <v>141</v>
      </c>
      <c r="F446" s="17" t="s">
        <v>0</v>
      </c>
      <c r="G446" s="17"/>
      <c r="H446" s="30">
        <v>20000</v>
      </c>
      <c r="I446" s="30">
        <f>IF($J$442&gt;=D446,H446,0)</f>
        <v>0</v>
      </c>
      <c r="J446" s="29">
        <f t="shared" si="36"/>
        <v>20000</v>
      </c>
    </row>
    <row r="447" spans="1:10" x14ac:dyDescent="0.2">
      <c r="B447" s="20" t="s">
        <v>140</v>
      </c>
      <c r="C447" s="50">
        <v>44825</v>
      </c>
      <c r="D447" s="50">
        <v>47384</v>
      </c>
      <c r="E447" s="43" t="s">
        <v>142</v>
      </c>
      <c r="F447" s="17" t="s">
        <v>0</v>
      </c>
      <c r="G447" s="17"/>
      <c r="H447" s="30">
        <v>15000</v>
      </c>
      <c r="I447" s="30"/>
      <c r="J447" s="29">
        <v>15000</v>
      </c>
    </row>
    <row r="448" spans="1:10" x14ac:dyDescent="0.2">
      <c r="B448" s="20" t="s">
        <v>140</v>
      </c>
      <c r="C448" s="50">
        <v>44826</v>
      </c>
      <c r="D448" s="50">
        <v>47384</v>
      </c>
      <c r="E448" s="43" t="s">
        <v>142</v>
      </c>
      <c r="F448" s="17" t="s">
        <v>0</v>
      </c>
      <c r="G448" s="17"/>
      <c r="H448" s="30">
        <v>15000</v>
      </c>
      <c r="I448" s="30"/>
      <c r="J448" s="29">
        <v>15000</v>
      </c>
    </row>
    <row r="449" spans="2:11" ht="13.5" thickBot="1" x14ac:dyDescent="0.25">
      <c r="B449" s="63"/>
      <c r="C449" s="63"/>
      <c r="D449" s="63"/>
      <c r="E449" s="63"/>
      <c r="F449" s="63"/>
      <c r="G449" s="63"/>
      <c r="H449" s="63"/>
      <c r="I449" s="63"/>
      <c r="J449" s="63"/>
    </row>
    <row r="450" spans="2:11" x14ac:dyDescent="0.2">
      <c r="B450" s="20"/>
      <c r="C450" s="88"/>
      <c r="D450" s="89"/>
      <c r="E450" s="19"/>
      <c r="F450" s="17"/>
      <c r="G450" s="17"/>
      <c r="H450" s="30"/>
      <c r="I450" s="30"/>
      <c r="J450" s="29"/>
    </row>
    <row r="451" spans="2:11" x14ac:dyDescent="0.2">
      <c r="B451" s="102" t="s">
        <v>56</v>
      </c>
      <c r="C451" s="11"/>
      <c r="D451" s="11"/>
      <c r="E451" s="11"/>
      <c r="F451" s="11"/>
      <c r="G451" s="12"/>
      <c r="H451" s="11"/>
      <c r="I451" s="11"/>
      <c r="J451" s="11"/>
    </row>
    <row r="452" spans="2:11" ht="13.5" thickBot="1" x14ac:dyDescent="0.25">
      <c r="B452" s="90"/>
      <c r="C452" s="90"/>
      <c r="D452" s="90"/>
      <c r="F452" s="58"/>
      <c r="G452" s="103"/>
    </row>
    <row r="453" spans="2:11" ht="13.5" thickTop="1" x14ac:dyDescent="0.2"/>
    <row r="456" spans="2:11" ht="15" x14ac:dyDescent="0.25">
      <c r="B456" s="110" t="s">
        <v>148</v>
      </c>
      <c r="C456" s="110"/>
      <c r="D456" s="110"/>
      <c r="E456" s="110"/>
      <c r="F456" s="110"/>
      <c r="G456" s="110"/>
      <c r="H456" s="110"/>
      <c r="I456" s="110"/>
      <c r="J456" s="110"/>
    </row>
    <row r="457" spans="2:11" x14ac:dyDescent="0.2">
      <c r="B457" s="84"/>
      <c r="C457" s="84"/>
      <c r="D457" s="84"/>
      <c r="J457" s="47"/>
    </row>
    <row r="458" spans="2:11" x14ac:dyDescent="0.2">
      <c r="B458" s="111" t="s">
        <v>38</v>
      </c>
      <c r="C458" s="111"/>
      <c r="D458" s="111"/>
      <c r="E458" s="111"/>
      <c r="F458" s="111"/>
      <c r="G458" s="111"/>
      <c r="H458" s="111"/>
      <c r="I458" s="111"/>
      <c r="J458" s="111"/>
    </row>
    <row r="459" spans="2:11" x14ac:dyDescent="0.2">
      <c r="B459" s="112" t="s">
        <v>39</v>
      </c>
      <c r="C459" s="112" t="s">
        <v>40</v>
      </c>
      <c r="D459" s="112" t="s">
        <v>41</v>
      </c>
      <c r="E459" s="112" t="s">
        <v>42</v>
      </c>
      <c r="F459" s="112" t="s">
        <v>43</v>
      </c>
      <c r="G459" s="112" t="s">
        <v>44</v>
      </c>
      <c r="H459" s="112" t="s">
        <v>45</v>
      </c>
      <c r="I459" s="112" t="s">
        <v>46</v>
      </c>
      <c r="J459" s="94" t="s">
        <v>47</v>
      </c>
    </row>
    <row r="460" spans="2:11" x14ac:dyDescent="0.2">
      <c r="B460" s="113"/>
      <c r="C460" s="113"/>
      <c r="D460" s="113"/>
      <c r="E460" s="113"/>
      <c r="F460" s="113"/>
      <c r="G460" s="113"/>
      <c r="H460" s="113"/>
      <c r="I460" s="113"/>
      <c r="J460" s="95">
        <f>J442</f>
        <v>45382</v>
      </c>
    </row>
    <row r="461" spans="2:11" x14ac:dyDescent="0.2">
      <c r="B461" s="2"/>
      <c r="C461" s="2"/>
      <c r="D461" s="2"/>
      <c r="E461" s="2"/>
      <c r="F461" s="2"/>
      <c r="G461" s="87"/>
      <c r="H461" s="2"/>
      <c r="I461" s="2"/>
      <c r="J461" s="10"/>
    </row>
    <row r="462" spans="2:11" ht="15.75" thickBot="1" x14ac:dyDescent="0.3">
      <c r="B462" s="2"/>
      <c r="C462" s="2"/>
      <c r="D462" s="2"/>
      <c r="E462" s="13" t="s">
        <v>3</v>
      </c>
      <c r="F462" s="5" t="s">
        <v>0</v>
      </c>
      <c r="G462" s="14">
        <v>363257.860888</v>
      </c>
      <c r="H462" s="14">
        <f>SUM(H463:H472)</f>
        <v>90000</v>
      </c>
      <c r="I462" s="14">
        <f>SUM(I463:I472)</f>
        <v>0</v>
      </c>
      <c r="J462" s="14">
        <f>SUM(J463:J472)</f>
        <v>90000</v>
      </c>
      <c r="K462" s="59"/>
    </row>
    <row r="463" spans="2:11" ht="13.5" thickTop="1" x14ac:dyDescent="0.2">
      <c r="B463" s="20" t="s">
        <v>146</v>
      </c>
      <c r="C463" s="51">
        <v>44967</v>
      </c>
      <c r="D463" s="51">
        <v>48985</v>
      </c>
      <c r="E463" s="43" t="s">
        <v>147</v>
      </c>
      <c r="F463" s="17" t="s">
        <v>0</v>
      </c>
      <c r="G463" s="17"/>
      <c r="H463" s="30">
        <v>30000</v>
      </c>
      <c r="I463" s="30">
        <f>IF($J$448&gt;=D463,H463,0)</f>
        <v>0</v>
      </c>
      <c r="J463" s="37">
        <f t="shared" ref="J463" si="37">H463-I463</f>
        <v>30000</v>
      </c>
    </row>
    <row r="464" spans="2:11" x14ac:dyDescent="0.2">
      <c r="B464" s="20" t="s">
        <v>146</v>
      </c>
      <c r="C464" s="51">
        <v>44992</v>
      </c>
      <c r="D464" s="51">
        <v>48985</v>
      </c>
      <c r="E464" s="43" t="s">
        <v>147</v>
      </c>
      <c r="F464" s="17" t="s">
        <v>0</v>
      </c>
      <c r="G464" s="17"/>
      <c r="H464" s="30">
        <v>10000</v>
      </c>
      <c r="I464" s="30">
        <f>IF($J$448&gt;=D464,H464,0)</f>
        <v>0</v>
      </c>
      <c r="J464" s="37">
        <f t="shared" ref="J464:J465" si="38">H464-I464</f>
        <v>10000</v>
      </c>
    </row>
    <row r="465" spans="2:10" x14ac:dyDescent="0.2">
      <c r="B465" s="20" t="s">
        <v>146</v>
      </c>
      <c r="C465" s="51">
        <v>45027</v>
      </c>
      <c r="D465" s="51">
        <v>48985</v>
      </c>
      <c r="E465" s="43" t="s">
        <v>147</v>
      </c>
      <c r="F465" s="17" t="s">
        <v>0</v>
      </c>
      <c r="G465" s="17"/>
      <c r="H465" s="30">
        <v>5000</v>
      </c>
      <c r="I465" s="30">
        <f>IF($J$448&gt;=D465,H465,0)</f>
        <v>0</v>
      </c>
      <c r="J465" s="37">
        <f t="shared" si="38"/>
        <v>5000</v>
      </c>
    </row>
    <row r="466" spans="2:10" x14ac:dyDescent="0.2">
      <c r="B466" s="20" t="s">
        <v>146</v>
      </c>
      <c r="C466" s="51">
        <v>45048</v>
      </c>
      <c r="D466" s="51">
        <v>48985</v>
      </c>
      <c r="E466" s="43" t="s">
        <v>147</v>
      </c>
      <c r="F466" s="17" t="s">
        <v>0</v>
      </c>
      <c r="G466" s="17"/>
      <c r="H466" s="30">
        <v>5000</v>
      </c>
      <c r="I466" s="30">
        <f>IF($J$448&gt;=D466,H466,0)</f>
        <v>0</v>
      </c>
      <c r="J466" s="37">
        <f t="shared" ref="J466" si="39">H466-I466</f>
        <v>5000</v>
      </c>
    </row>
    <row r="467" spans="2:10" x14ac:dyDescent="0.2">
      <c r="B467" s="20" t="s">
        <v>146</v>
      </c>
      <c r="C467" s="51">
        <v>45083</v>
      </c>
      <c r="D467" s="51">
        <v>48985</v>
      </c>
      <c r="E467" s="43" t="s">
        <v>147</v>
      </c>
      <c r="F467" s="17" t="s">
        <v>0</v>
      </c>
      <c r="G467" s="17"/>
      <c r="H467" s="30">
        <v>10000</v>
      </c>
      <c r="I467" s="30">
        <v>0</v>
      </c>
      <c r="J467" s="37">
        <v>10000</v>
      </c>
    </row>
    <row r="468" spans="2:10" x14ac:dyDescent="0.2">
      <c r="B468" s="20" t="s">
        <v>146</v>
      </c>
      <c r="C468" s="51">
        <v>45084</v>
      </c>
      <c r="D468" s="51">
        <v>48985</v>
      </c>
      <c r="E468" s="43" t="s">
        <v>147</v>
      </c>
      <c r="F468" s="17" t="s">
        <v>0</v>
      </c>
      <c r="G468" s="17"/>
      <c r="H468" s="30">
        <v>10000</v>
      </c>
      <c r="I468" s="30">
        <v>0</v>
      </c>
      <c r="J468" s="37">
        <v>10000</v>
      </c>
    </row>
    <row r="469" spans="2:10" x14ac:dyDescent="0.2">
      <c r="B469" s="20" t="s">
        <v>146</v>
      </c>
      <c r="C469" s="51">
        <v>45112</v>
      </c>
      <c r="D469" s="51">
        <v>48985</v>
      </c>
      <c r="E469" s="43" t="s">
        <v>147</v>
      </c>
      <c r="F469" s="17" t="s">
        <v>0</v>
      </c>
      <c r="G469" s="17"/>
      <c r="H469" s="30">
        <v>10000</v>
      </c>
      <c r="I469" s="30">
        <f t="shared" ref="I469:I470" si="40">IF($J$448&gt;=D469,H469,0)</f>
        <v>0</v>
      </c>
      <c r="J469" s="37">
        <f t="shared" ref="J469:J470" si="41">H469-I469</f>
        <v>10000</v>
      </c>
    </row>
    <row r="470" spans="2:10" x14ac:dyDescent="0.2">
      <c r="B470" s="20" t="s">
        <v>146</v>
      </c>
      <c r="C470" s="51">
        <v>45113</v>
      </c>
      <c r="D470" s="51">
        <v>48985</v>
      </c>
      <c r="E470" s="43" t="s">
        <v>147</v>
      </c>
      <c r="F470" s="17" t="s">
        <v>0</v>
      </c>
      <c r="G470" s="17"/>
      <c r="H470" s="30">
        <v>10000</v>
      </c>
      <c r="I470" s="30">
        <f t="shared" si="40"/>
        <v>0</v>
      </c>
      <c r="J470" s="37">
        <f t="shared" si="41"/>
        <v>10000</v>
      </c>
    </row>
    <row r="471" spans="2:10" x14ac:dyDescent="0.2">
      <c r="B471" s="20"/>
      <c r="C471" s="51"/>
      <c r="D471" s="51"/>
      <c r="E471" s="43"/>
      <c r="F471" s="17"/>
      <c r="G471" s="17"/>
      <c r="H471" s="30"/>
      <c r="I471" s="30"/>
      <c r="J471" s="37"/>
    </row>
    <row r="472" spans="2:10" ht="13.5" thickBot="1" x14ac:dyDescent="0.25">
      <c r="B472" s="63"/>
      <c r="C472" s="63"/>
      <c r="D472" s="63"/>
      <c r="E472" s="63"/>
      <c r="F472" s="63"/>
      <c r="G472" s="63"/>
      <c r="H472" s="63"/>
      <c r="I472" s="63"/>
      <c r="J472" s="108"/>
    </row>
    <row r="473" spans="2:10" x14ac:dyDescent="0.2">
      <c r="B473" s="20"/>
      <c r="C473" s="88"/>
      <c r="D473" s="89"/>
      <c r="E473" s="19"/>
      <c r="F473" s="17"/>
      <c r="G473" s="17"/>
      <c r="H473" s="30"/>
      <c r="I473" s="30"/>
      <c r="J473" s="29"/>
    </row>
    <row r="474" spans="2:10" x14ac:dyDescent="0.2">
      <c r="B474" s="102" t="s">
        <v>56</v>
      </c>
      <c r="C474" s="11"/>
      <c r="D474" s="11"/>
      <c r="E474" s="11"/>
      <c r="F474" s="11"/>
      <c r="G474" s="12"/>
      <c r="H474" s="11"/>
      <c r="I474" s="11"/>
      <c r="J474" s="11"/>
    </row>
    <row r="475" spans="2:10" ht="12.75" customHeight="1" thickBot="1" x14ac:dyDescent="0.25">
      <c r="B475" s="90"/>
      <c r="C475" s="90"/>
      <c r="D475" s="90"/>
      <c r="F475" s="58"/>
      <c r="G475" s="103"/>
    </row>
    <row r="476" spans="2:10" ht="13.5" thickTop="1" x14ac:dyDescent="0.2"/>
    <row r="479" spans="2:10" ht="15" x14ac:dyDescent="0.25">
      <c r="B479" s="110" t="s">
        <v>154</v>
      </c>
      <c r="C479" s="110"/>
      <c r="D479" s="110"/>
      <c r="E479" s="110"/>
      <c r="F479" s="110"/>
      <c r="G479" s="110"/>
      <c r="H479" s="110"/>
      <c r="I479" s="110"/>
      <c r="J479" s="110"/>
    </row>
    <row r="480" spans="2:10" x14ac:dyDescent="0.2">
      <c r="B480" s="84"/>
      <c r="C480" s="84"/>
      <c r="D480" s="84"/>
      <c r="J480" s="47"/>
    </row>
    <row r="481" spans="2:11" x14ac:dyDescent="0.2">
      <c r="B481" s="111" t="s">
        <v>38</v>
      </c>
      <c r="C481" s="111"/>
      <c r="D481" s="111"/>
      <c r="E481" s="111"/>
      <c r="F481" s="111"/>
      <c r="G481" s="111"/>
      <c r="H481" s="111"/>
      <c r="I481" s="111"/>
      <c r="J481" s="111"/>
    </row>
    <row r="482" spans="2:11" x14ac:dyDescent="0.2">
      <c r="B482" s="112" t="s">
        <v>39</v>
      </c>
      <c r="C482" s="112" t="s">
        <v>40</v>
      </c>
      <c r="D482" s="112" t="s">
        <v>41</v>
      </c>
      <c r="E482" s="112" t="s">
        <v>42</v>
      </c>
      <c r="F482" s="112" t="s">
        <v>43</v>
      </c>
      <c r="G482" s="112" t="s">
        <v>44</v>
      </c>
      <c r="H482" s="112" t="s">
        <v>45</v>
      </c>
      <c r="I482" s="112" t="s">
        <v>46</v>
      </c>
      <c r="J482" s="94" t="s">
        <v>47</v>
      </c>
    </row>
    <row r="483" spans="2:11" x14ac:dyDescent="0.2">
      <c r="B483" s="113"/>
      <c r="C483" s="113"/>
      <c r="D483" s="113"/>
      <c r="E483" s="113"/>
      <c r="F483" s="113"/>
      <c r="G483" s="113"/>
      <c r="H483" s="113"/>
      <c r="I483" s="113"/>
      <c r="J483" s="95">
        <f>J460</f>
        <v>45382</v>
      </c>
    </row>
    <row r="484" spans="2:11" x14ac:dyDescent="0.2">
      <c r="B484" s="2"/>
      <c r="C484" s="2"/>
      <c r="D484" s="2"/>
      <c r="E484" s="2"/>
      <c r="F484" s="2"/>
      <c r="G484" s="87"/>
      <c r="H484" s="2"/>
      <c r="I484" s="2"/>
      <c r="J484" s="10"/>
    </row>
    <row r="485" spans="2:11" ht="15.75" thickBot="1" x14ac:dyDescent="0.3">
      <c r="B485" s="2"/>
      <c r="C485" s="2"/>
      <c r="D485" s="2"/>
      <c r="E485" s="13" t="s">
        <v>3</v>
      </c>
      <c r="F485" s="5" t="s">
        <v>0</v>
      </c>
      <c r="G485" s="14">
        <v>344980.21211800002</v>
      </c>
      <c r="H485" s="14">
        <f>SUM(H486:H490)</f>
        <v>45000</v>
      </c>
      <c r="I485" s="14">
        <f>SUM(I486:I490)</f>
        <v>0</v>
      </c>
      <c r="J485" s="14">
        <f>SUM(J486:J490)</f>
        <v>45000</v>
      </c>
      <c r="K485" s="59"/>
    </row>
    <row r="486" spans="2:11" ht="13.5" thickTop="1" x14ac:dyDescent="0.2">
      <c r="B486" s="20" t="s">
        <v>153</v>
      </c>
      <c r="C486" s="51">
        <v>45328</v>
      </c>
      <c r="D486" s="51">
        <v>47888</v>
      </c>
      <c r="E486" s="43" t="s">
        <v>119</v>
      </c>
      <c r="F486" s="17" t="s">
        <v>0</v>
      </c>
      <c r="G486" s="17"/>
      <c r="H486" s="30">
        <v>20000</v>
      </c>
      <c r="I486" s="30">
        <f t="shared" ref="I486:I487" si="42">IF($J$447&gt;=D486,H486,0)</f>
        <v>0</v>
      </c>
      <c r="J486" s="37">
        <f t="shared" ref="J486:J487" si="43">H486-I486</f>
        <v>20000</v>
      </c>
    </row>
    <row r="487" spans="2:11" x14ac:dyDescent="0.2">
      <c r="B487" s="20" t="s">
        <v>153</v>
      </c>
      <c r="C487" s="51">
        <v>45329</v>
      </c>
      <c r="D487" s="51">
        <v>47888</v>
      </c>
      <c r="E487" s="43" t="s">
        <v>119</v>
      </c>
      <c r="F487" s="17" t="s">
        <v>0</v>
      </c>
      <c r="G487" s="17"/>
      <c r="H487" s="30">
        <v>10000</v>
      </c>
      <c r="I487" s="30">
        <f t="shared" si="42"/>
        <v>0</v>
      </c>
      <c r="J487" s="37">
        <f t="shared" si="43"/>
        <v>10000</v>
      </c>
    </row>
    <row r="488" spans="2:11" x14ac:dyDescent="0.2">
      <c r="B488" s="20" t="s">
        <v>153</v>
      </c>
      <c r="C488" s="51">
        <v>45356</v>
      </c>
      <c r="D488" s="51">
        <v>47888</v>
      </c>
      <c r="E488" s="43" t="s">
        <v>119</v>
      </c>
      <c r="F488" s="17" t="s">
        <v>0</v>
      </c>
      <c r="G488" s="17"/>
      <c r="H488" s="30">
        <v>15000</v>
      </c>
      <c r="I488" s="30">
        <f t="shared" ref="I488" si="44">IF($J$447&gt;=D488,H488,0)</f>
        <v>0</v>
      </c>
      <c r="J488" s="37">
        <f t="shared" ref="J488" si="45">H488-I488</f>
        <v>15000</v>
      </c>
    </row>
    <row r="489" spans="2:11" x14ac:dyDescent="0.2">
      <c r="B489" s="20"/>
      <c r="C489" s="51"/>
      <c r="D489" s="51"/>
      <c r="E489" s="43"/>
      <c r="F489" s="17"/>
      <c r="G489" s="17"/>
      <c r="H489" s="30"/>
      <c r="I489" s="30"/>
      <c r="J489" s="37"/>
    </row>
    <row r="490" spans="2:11" ht="13.5" thickBot="1" x14ac:dyDescent="0.25">
      <c r="B490" s="63"/>
      <c r="C490" s="63"/>
      <c r="D490" s="63"/>
      <c r="E490" s="63"/>
      <c r="F490" s="63"/>
      <c r="G490" s="63"/>
      <c r="H490" s="63"/>
      <c r="I490" s="63"/>
      <c r="J490" s="108"/>
    </row>
    <row r="491" spans="2:11" x14ac:dyDescent="0.2">
      <c r="B491" s="20"/>
      <c r="C491" s="88"/>
      <c r="D491" s="89"/>
      <c r="E491" s="19"/>
      <c r="F491" s="17"/>
      <c r="G491" s="17"/>
      <c r="H491" s="30"/>
      <c r="I491" s="30"/>
      <c r="J491" s="29"/>
    </row>
    <row r="492" spans="2:11" x14ac:dyDescent="0.2">
      <c r="B492" s="102" t="s">
        <v>56</v>
      </c>
      <c r="C492" s="11"/>
      <c r="D492" s="11"/>
      <c r="E492" s="11"/>
      <c r="F492" s="11"/>
      <c r="G492" s="12"/>
      <c r="H492" s="11"/>
      <c r="I492" s="11"/>
      <c r="J492" s="11"/>
    </row>
    <row r="493" spans="2:11" ht="12.75" customHeight="1" thickBot="1" x14ac:dyDescent="0.25">
      <c r="B493" s="90"/>
      <c r="C493" s="90"/>
      <c r="D493" s="90"/>
      <c r="F493" s="58"/>
      <c r="G493" s="103"/>
    </row>
    <row r="494" spans="2:11" ht="13.5" thickTop="1" x14ac:dyDescent="0.2"/>
  </sheetData>
  <mergeCells count="183">
    <mergeCell ref="B479:J479"/>
    <mergeCell ref="B481:J481"/>
    <mergeCell ref="B482:B483"/>
    <mergeCell ref="C482:C483"/>
    <mergeCell ref="D482:D483"/>
    <mergeCell ref="E482:E483"/>
    <mergeCell ref="F482:F483"/>
    <mergeCell ref="G482:G483"/>
    <mergeCell ref="H482:H483"/>
    <mergeCell ref="I482:I483"/>
    <mergeCell ref="B438:J438"/>
    <mergeCell ref="B440:J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B419:J419"/>
    <mergeCell ref="B421:J421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B48:J48"/>
    <mergeCell ref="B50:J50"/>
    <mergeCell ref="B51:B52"/>
    <mergeCell ref="C51:C52"/>
    <mergeCell ref="D51:D52"/>
    <mergeCell ref="E51:E52"/>
    <mergeCell ref="F51:F52"/>
    <mergeCell ref="G51:G52"/>
    <mergeCell ref="H51:H52"/>
    <mergeCell ref="I51:I52"/>
    <mergeCell ref="B348:J348"/>
    <mergeCell ref="B350:J350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B326:B327"/>
    <mergeCell ref="C326:C327"/>
    <mergeCell ref="D326:D327"/>
    <mergeCell ref="E326:E327"/>
    <mergeCell ref="F326:F327"/>
    <mergeCell ref="G326:G327"/>
    <mergeCell ref="B258:J258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H291:H292"/>
    <mergeCell ref="I291:I292"/>
    <mergeCell ref="H326:H327"/>
    <mergeCell ref="I326:I327"/>
    <mergeCell ref="D216:D217"/>
    <mergeCell ref="E216:E217"/>
    <mergeCell ref="F216:F217"/>
    <mergeCell ref="G216:G217"/>
    <mergeCell ref="B215:J215"/>
    <mergeCell ref="H216:H217"/>
    <mergeCell ref="B323:J323"/>
    <mergeCell ref="B325:J325"/>
    <mergeCell ref="B216:B217"/>
    <mergeCell ref="H125:H126"/>
    <mergeCell ref="I125:I126"/>
    <mergeCell ref="F125:F126"/>
    <mergeCell ref="G125:G126"/>
    <mergeCell ref="H84:H85"/>
    <mergeCell ref="I84:I85"/>
    <mergeCell ref="G64:G65"/>
    <mergeCell ref="G177:G178"/>
    <mergeCell ref="H177:H178"/>
    <mergeCell ref="I177:I178"/>
    <mergeCell ref="B153:J153"/>
    <mergeCell ref="B154:B155"/>
    <mergeCell ref="C154:C155"/>
    <mergeCell ref="D154:D155"/>
    <mergeCell ref="E154:E155"/>
    <mergeCell ref="F154:F155"/>
    <mergeCell ref="G154:G155"/>
    <mergeCell ref="B177:B178"/>
    <mergeCell ref="B174:J174"/>
    <mergeCell ref="B176:J176"/>
    <mergeCell ref="H154:H155"/>
    <mergeCell ref="I154:I155"/>
    <mergeCell ref="C177:C178"/>
    <mergeCell ref="D177:D178"/>
    <mergeCell ref="B8:J8"/>
    <mergeCell ref="B7:J7"/>
    <mergeCell ref="B6:J6"/>
    <mergeCell ref="B30:J30"/>
    <mergeCell ref="B33:B34"/>
    <mergeCell ref="C33:C34"/>
    <mergeCell ref="B32:J32"/>
    <mergeCell ref="D33:D34"/>
    <mergeCell ref="E33:E34"/>
    <mergeCell ref="H33:H34"/>
    <mergeCell ref="G33:G34"/>
    <mergeCell ref="F33:F34"/>
    <mergeCell ref="I33:I34"/>
    <mergeCell ref="B61:J61"/>
    <mergeCell ref="B63:J63"/>
    <mergeCell ref="B81:J81"/>
    <mergeCell ref="H64:H65"/>
    <mergeCell ref="I64:I65"/>
    <mergeCell ref="B151:J151"/>
    <mergeCell ref="B83:J83"/>
    <mergeCell ref="B84:B85"/>
    <mergeCell ref="C84:C85"/>
    <mergeCell ref="D84:D85"/>
    <mergeCell ref="B64:B65"/>
    <mergeCell ref="C64:C65"/>
    <mergeCell ref="D64:D65"/>
    <mergeCell ref="E64:E65"/>
    <mergeCell ref="F64:F65"/>
    <mergeCell ref="G84:G85"/>
    <mergeCell ref="B122:J122"/>
    <mergeCell ref="B124:J124"/>
    <mergeCell ref="B125:B126"/>
    <mergeCell ref="C125:C126"/>
    <mergeCell ref="D125:D126"/>
    <mergeCell ref="E125:E126"/>
    <mergeCell ref="E84:E85"/>
    <mergeCell ref="F84:F85"/>
    <mergeCell ref="E177:E178"/>
    <mergeCell ref="F177:F178"/>
    <mergeCell ref="B288:J288"/>
    <mergeCell ref="B290:J290"/>
    <mergeCell ref="B291:B292"/>
    <mergeCell ref="C291:C292"/>
    <mergeCell ref="D291:D292"/>
    <mergeCell ref="E291:E292"/>
    <mergeCell ref="F291:F292"/>
    <mergeCell ref="G291:G292"/>
    <mergeCell ref="I216:I217"/>
    <mergeCell ref="B256:J256"/>
    <mergeCell ref="B231:J231"/>
    <mergeCell ref="B233:J233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B213:J213"/>
    <mergeCell ref="C216:C217"/>
    <mergeCell ref="B387:J387"/>
    <mergeCell ref="B389:J389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B456:J456"/>
    <mergeCell ref="B458:J458"/>
    <mergeCell ref="B459:B460"/>
    <mergeCell ref="C459:C460"/>
    <mergeCell ref="D459:D460"/>
    <mergeCell ref="E459:E460"/>
    <mergeCell ref="F459:F460"/>
    <mergeCell ref="G459:G460"/>
    <mergeCell ref="H459:H460"/>
    <mergeCell ref="I459:I460"/>
  </mergeCells>
  <phoneticPr fontId="6" type="noConversion"/>
  <hyperlinks>
    <hyperlink ref="B13" location="'Domestic Bonds'!A38" display="Rest of Public Sector Domestic Bond Issues " xr:uid="{00000000-0004-0000-0000-000000000000}"/>
    <hyperlink ref="B14" location="'Domestic Bonds'!B75" display="Recapitalization Plan of the Central Bank Bonds (Law No. 167-07)" xr:uid="{00000000-0004-0000-0000-000001000000}"/>
    <hyperlink ref="B15" location="'Domestic Bonds'!B110" display="Ministry of Finance Auction Bonds during 2010 (Law No. 366-09)" xr:uid="{00000000-0004-0000-0000-000002000000}"/>
    <hyperlink ref="B16" location="'Domestic Bonds'!B145" display="Ministry of Finance Auction Bonds during 2011 (Law No. 131-11)" xr:uid="{00000000-0004-0000-0000-000003000000}"/>
    <hyperlink ref="B17" location="'Domestic Bonds'!B169" display="Ministry of Finance Auction Bonds during 2012 (Law No. 361-11)" xr:uid="{00000000-0004-0000-0000-000004000000}"/>
    <hyperlink ref="B18" location="'Domestic Bonds'!B206" display="Ministry of Finance Auction Bonds during 2013 (Law No. 58-13)" xr:uid="{00000000-0004-0000-0000-000005000000}"/>
    <hyperlink ref="B19" location="'Domestic Bonds'!B224" display="Ministry of Finance Auction Bonds during 2014 (Law No. 152-14)" xr:uid="{00000000-0004-0000-0000-000006000000}"/>
    <hyperlink ref="B20" location="'Domestic Bonds'!B245" display="Ministry of Finance Auction Bonds during 2015  (Law No. 548-14)" xr:uid="{00000000-0004-0000-0000-000007000000}"/>
    <hyperlink ref="B21" location="'Domestic Bonds'!B276" display="Ministry of Finance Auction Bonds during 2016  (Law No. 331-15)" xr:uid="{00000000-0004-0000-0000-000008000000}"/>
    <hyperlink ref="B22:J22" location="'Domestic Bonds'!A292" display="Ministry of Finance Auction Bonds during 2016  (Law No. 331-15)" xr:uid="{00000000-0004-0000-0000-000009000000}"/>
    <hyperlink ref="B23" location="'Domestic Bonds'!A316" display="Ministry of Finance Auction Bonds during 2018  (Law No. 248-17)" xr:uid="{00000000-0004-0000-0000-00000A000000}"/>
    <hyperlink ref="B24" location="'Domestic Bonds'!A346" display="Ministry of Finance Auction Bonds during 2018  (Law No. 248-17)" xr:uid="{00000000-0004-0000-0000-00000B000000}"/>
    <hyperlink ref="B25" location="'Domestic Bonds'!A400" display="Ministry of Finance Auction Bonds during 2020  (Law No. 512-19)" xr:uid="{00000000-0004-0000-0000-00000C000000}"/>
    <hyperlink ref="B26" location="'Domestic Bonds'!A459" display="Ministry of Finance Auction Bonds during 2021 (Law No. 243-20)" xr:uid="{00000000-0004-0000-0000-00000D000000}"/>
    <hyperlink ref="B27" location="'Domestic Bonds'!A478" display="Ministry of Finance Auction Bonds during 2022 (Law No. 348-21)" xr:uid="{00000000-0004-0000-0000-00000E000000}"/>
    <hyperlink ref="B28" location="'Domestic Bonds'!A478" display="Ministry of Finance Auction Bonds during 2022 (Law No. 348-21)" xr:uid="{3055EFEF-EC67-4E98-BD70-BCEEFF22F3E3}"/>
    <hyperlink ref="B29" location="'Domestic Bonds'!A495" display="Ministry of Finance Auction Bonds during 2024 (Law No. 07-24)" xr:uid="{7E2B51CC-D880-423D-BC87-1F2B04604DCD}"/>
  </hyperlinks>
  <pageMargins left="0.24" right="0.23622047244094491" top="0.23" bottom="0.56000000000000005" header="0.25" footer="0.51181102362204722"/>
  <pageSetup scale="65" orientation="portrait" r:id="rId1"/>
  <headerFooter alignWithMargins="0"/>
  <ignoredErrors>
    <ignoredError sqref="H219:I219" formulaRange="1"/>
    <ignoredError sqref="I201 I193 I300 I356 I358 I360 I363 I36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Domestic Bonds</vt:lpstr>
      <vt:lpstr>Relación_de_Bonos_Internos_Plan_de_Recapitalización_del_Banco_Central__Ley_No._167_07</vt:lpstr>
      <vt:lpstr>Relación_de_Bonos_Internos_Subastas_Ministerio_de_Hacienda__Ley_No._366_09</vt:lpstr>
      <vt:lpstr>Relación_del_Resto_de_Bonos_Internos_Emitidos_por_el_Sector_Público</vt:lpstr>
    </vt:vector>
  </TitlesOfParts>
  <Company>Secretaria de Estado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Rodriguez</dc:creator>
  <cp:lastModifiedBy>Pedro Manuel Joaquin Federico</cp:lastModifiedBy>
  <cp:lastPrinted>2013-11-01T17:30:50Z</cp:lastPrinted>
  <dcterms:created xsi:type="dcterms:W3CDTF">2007-05-15T15:37:59Z</dcterms:created>
  <dcterms:modified xsi:type="dcterms:W3CDTF">2024-04-17T19:02:19Z</dcterms:modified>
</cp:coreProperties>
</file>